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17790" firstSheet="2" activeTab="2"/>
  </bookViews>
  <sheets>
    <sheet name="1.项目基本情况表" sheetId="4" r:id="rId1"/>
    <sheet name="2.项目资金需求申报信息" sheetId="3" state="hidden" r:id="rId2"/>
    <sheet name="项目详细信息" sheetId="1" r:id="rId3"/>
    <sheet name="4.收支预算表" sheetId="2" state="hidden" r:id="rId4"/>
    <sheet name="系统表" sheetId="5" state="hidden" r:id="rId5"/>
  </sheets>
  <calcPr calcId="144525"/>
</workbook>
</file>

<file path=xl/sharedStrings.xml><?xml version="1.0" encoding="utf-8"?>
<sst xmlns="http://schemas.openxmlformats.org/spreadsheetml/2006/main" count="1126" uniqueCount="270">
  <si>
    <r>
      <rPr>
        <b/>
        <sz val="12"/>
        <rFont val="宋体"/>
        <charset val="134"/>
      </rPr>
      <t>表</t>
    </r>
    <r>
      <rPr>
        <b/>
        <sz val="12"/>
        <rFont val="Times New Roman"/>
        <charset val="134"/>
      </rPr>
      <t>1</t>
    </r>
  </si>
  <si>
    <r>
      <rPr>
        <sz val="20"/>
        <rFont val="方正小标宋简体"/>
        <charset val="134"/>
      </rPr>
      <t>项目基本情况</t>
    </r>
  </si>
  <si>
    <r>
      <rPr>
        <sz val="12"/>
        <rFont val="方正仿宋简体"/>
        <charset val="134"/>
      </rPr>
      <t>财政部门：（签章）</t>
    </r>
  </si>
  <si>
    <r>
      <rPr>
        <sz val="12"/>
        <rFont val="方正仿宋简体"/>
        <charset val="134"/>
      </rPr>
      <t>主管部门：（签章）</t>
    </r>
  </si>
  <si>
    <r>
      <rPr>
        <sz val="12"/>
        <rFont val="方正仿宋简体"/>
        <charset val="134"/>
      </rPr>
      <t>项目单位：（签章）</t>
    </r>
  </si>
  <si>
    <r>
      <rPr>
        <sz val="10"/>
        <color theme="1"/>
        <rFont val="宋体"/>
        <charset val="134"/>
      </rPr>
      <t>项目编号</t>
    </r>
  </si>
  <si>
    <r>
      <rPr>
        <sz val="10"/>
        <color theme="1"/>
        <rFont val="宋体"/>
        <charset val="134"/>
      </rPr>
      <t>项目名称</t>
    </r>
  </si>
  <si>
    <r>
      <rPr>
        <sz val="10"/>
        <color theme="1"/>
        <rFont val="宋体"/>
        <charset val="134"/>
      </rPr>
      <t>是否打包项目</t>
    </r>
  </si>
  <si>
    <r>
      <rPr>
        <sz val="10"/>
        <color theme="1"/>
        <rFont val="宋体"/>
        <charset val="134"/>
      </rPr>
      <t>立项年度</t>
    </r>
  </si>
  <si>
    <r>
      <rPr>
        <sz val="10"/>
        <color theme="1"/>
        <rFont val="宋体"/>
        <charset val="134"/>
      </rPr>
      <t>业主单位</t>
    </r>
  </si>
  <si>
    <t>眉山市东坡区交通运输局</t>
  </si>
  <si>
    <r>
      <rPr>
        <sz val="10"/>
        <color theme="1"/>
        <rFont val="宋体"/>
        <charset val="134"/>
      </rPr>
      <t>项目地址</t>
    </r>
  </si>
  <si>
    <r>
      <rPr>
        <sz val="10"/>
        <color theme="1"/>
        <rFont val="宋体"/>
        <charset val="134"/>
      </rPr>
      <t>眉山市</t>
    </r>
  </si>
  <si>
    <r>
      <rPr>
        <sz val="10"/>
        <color theme="1"/>
        <rFont val="宋体"/>
        <charset val="134"/>
      </rPr>
      <t>发改委审批监管代码</t>
    </r>
  </si>
  <si>
    <r>
      <rPr>
        <sz val="10"/>
        <color theme="1"/>
        <rFont val="宋体"/>
        <charset val="134"/>
      </rPr>
      <t>是否列为重大项目库</t>
    </r>
  </si>
  <si>
    <r>
      <rPr>
        <sz val="10"/>
        <color theme="1"/>
        <rFont val="宋体"/>
        <charset val="134"/>
      </rPr>
      <t>是</t>
    </r>
  </si>
  <si>
    <r>
      <rPr>
        <sz val="10"/>
        <color theme="1"/>
        <rFont val="宋体"/>
        <charset val="134"/>
      </rPr>
      <t>预算管理一体化编码</t>
    </r>
  </si>
  <si>
    <r>
      <rPr>
        <sz val="10"/>
        <color theme="1"/>
        <rFont val="宋体"/>
        <charset val="134"/>
      </rPr>
      <t>资金投向领域</t>
    </r>
  </si>
  <si>
    <r>
      <rPr>
        <sz val="10"/>
        <rFont val="宋体"/>
        <charset val="134"/>
      </rPr>
      <t>交通基础设施领域城市轨道交通和市城（郊）铁路投向</t>
    </r>
  </si>
  <si>
    <r>
      <rPr>
        <sz val="10"/>
        <color theme="1"/>
        <rFont val="宋体"/>
        <charset val="134"/>
      </rPr>
      <t>所属主管部门</t>
    </r>
  </si>
  <si>
    <r>
      <rPr>
        <sz val="10"/>
        <color theme="1"/>
        <rFont val="宋体"/>
        <charset val="134"/>
      </rPr>
      <t>重大战略项目</t>
    </r>
  </si>
  <si>
    <r>
      <rPr>
        <sz val="10"/>
        <color theme="1"/>
        <rFont val="宋体"/>
        <charset val="134"/>
      </rPr>
      <t>建设性质</t>
    </r>
  </si>
  <si>
    <r>
      <rPr>
        <sz val="10"/>
        <color theme="1"/>
        <rFont val="宋体"/>
        <charset val="134"/>
      </rPr>
      <t>新建</t>
    </r>
  </si>
  <si>
    <r>
      <rPr>
        <sz val="10"/>
        <color theme="1"/>
        <rFont val="宋体"/>
        <charset val="134"/>
      </rPr>
      <t>项目性质</t>
    </r>
  </si>
  <si>
    <r>
      <rPr>
        <sz val="10"/>
        <color theme="1"/>
        <rFont val="宋体"/>
        <charset val="134"/>
      </rPr>
      <t>项目类型</t>
    </r>
  </si>
  <si>
    <r>
      <rPr>
        <sz val="10"/>
        <color theme="1"/>
        <rFont val="宋体"/>
        <charset val="134"/>
      </rPr>
      <t>国土部门监管代码</t>
    </r>
  </si>
  <si>
    <r>
      <rPr>
        <sz val="10"/>
        <color theme="1"/>
        <rFont val="宋体"/>
        <charset val="134"/>
      </rPr>
      <t>补短板产业类型</t>
    </r>
  </si>
  <si>
    <r>
      <rPr>
        <sz val="10"/>
        <color theme="1"/>
        <rFont val="宋体"/>
        <charset val="134"/>
      </rPr>
      <t>立项审批依据</t>
    </r>
  </si>
  <si>
    <r>
      <rPr>
        <sz val="10"/>
        <color theme="1"/>
        <rFont val="宋体"/>
        <charset val="134"/>
      </rPr>
      <t>项目建议书文号</t>
    </r>
  </si>
  <si>
    <r>
      <rPr>
        <sz val="10"/>
        <color theme="1"/>
        <rFont val="宋体"/>
        <charset val="134"/>
      </rPr>
      <t>可研批复文号</t>
    </r>
  </si>
  <si>
    <r>
      <rPr>
        <sz val="10"/>
        <color theme="1"/>
        <rFont val="宋体"/>
        <charset val="134"/>
      </rPr>
      <t>川发改基础</t>
    </r>
    <r>
      <rPr>
        <sz val="10"/>
        <color theme="1"/>
        <rFont val="Times New Roman"/>
        <charset val="134"/>
      </rPr>
      <t>[2022]461</t>
    </r>
    <r>
      <rPr>
        <sz val="10"/>
        <color theme="1"/>
        <rFont val="宋体"/>
        <charset val="134"/>
      </rPr>
      <t>号</t>
    </r>
  </si>
  <si>
    <r>
      <rPr>
        <sz val="10"/>
        <color theme="1"/>
        <rFont val="宋体"/>
        <charset val="134"/>
      </rPr>
      <t>立项审批级次</t>
    </r>
  </si>
  <si>
    <r>
      <rPr>
        <sz val="10"/>
        <color theme="1"/>
        <rFont val="宋体"/>
        <charset val="134"/>
      </rPr>
      <t>省级</t>
    </r>
  </si>
  <si>
    <r>
      <rPr>
        <sz val="10"/>
        <color theme="1"/>
        <rFont val="宋体"/>
        <charset val="134"/>
      </rPr>
      <t>立项审批部门</t>
    </r>
  </si>
  <si>
    <t>省发改委</t>
  </si>
  <si>
    <r>
      <rPr>
        <sz val="10"/>
        <color theme="1"/>
        <rFont val="宋体"/>
        <charset val="134"/>
      </rPr>
      <t>计划开工日期</t>
    </r>
  </si>
  <si>
    <r>
      <rPr>
        <sz val="10"/>
        <color theme="1"/>
        <rFont val="宋体"/>
        <charset val="134"/>
      </rPr>
      <t>计划竣工时间</t>
    </r>
  </si>
  <si>
    <r>
      <rPr>
        <sz val="10"/>
        <color theme="1"/>
        <rFont val="宋体"/>
        <charset val="134"/>
      </rPr>
      <t>实际开工日期</t>
    </r>
  </si>
  <si>
    <r>
      <rPr>
        <sz val="10"/>
        <color theme="1"/>
        <rFont val="宋体"/>
        <charset val="134"/>
      </rPr>
      <t>建设状态</t>
    </r>
  </si>
  <si>
    <r>
      <rPr>
        <sz val="10"/>
        <color theme="1"/>
        <rFont val="宋体"/>
        <charset val="134"/>
      </rPr>
      <t>上级项目</t>
    </r>
  </si>
  <si>
    <r>
      <rPr>
        <sz val="10"/>
        <color theme="1"/>
        <rFont val="宋体"/>
        <charset val="134"/>
      </rPr>
      <t>单位项目负责人</t>
    </r>
  </si>
  <si>
    <r>
      <rPr>
        <sz val="10"/>
        <color theme="1"/>
        <rFont val="宋体"/>
        <charset val="134"/>
      </rPr>
      <t>负责人联系电话</t>
    </r>
  </si>
  <si>
    <r>
      <rPr>
        <sz val="10"/>
        <color theme="1"/>
        <rFont val="宋体"/>
        <charset val="134"/>
      </rPr>
      <t>财政人员姓名</t>
    </r>
  </si>
  <si>
    <r>
      <rPr>
        <sz val="10"/>
        <color theme="1"/>
        <rFont val="宋体"/>
        <charset val="134"/>
      </rPr>
      <t>财政人员联系电话</t>
    </r>
  </si>
  <si>
    <r>
      <rPr>
        <sz val="10"/>
        <color theme="1"/>
        <rFont val="宋体"/>
        <charset val="134"/>
      </rPr>
      <t>项目单位联系人姓名</t>
    </r>
  </si>
  <si>
    <r>
      <rPr>
        <sz val="10"/>
        <color theme="1"/>
        <rFont val="宋体"/>
        <charset val="134"/>
      </rPr>
      <t>项目单位联系人电话</t>
    </r>
  </si>
  <si>
    <r>
      <rPr>
        <sz val="10"/>
        <color theme="1"/>
        <rFont val="宋体"/>
        <charset val="134"/>
      </rPr>
      <t>项目主要建设内容和规模</t>
    </r>
  </si>
  <si>
    <r>
      <rPr>
        <sz val="10"/>
        <color theme="1"/>
        <rFont val="宋体"/>
        <charset val="134"/>
      </rPr>
      <t>项目收入来源</t>
    </r>
  </si>
  <si>
    <t>通过眉山段票务收入（东坡区含岷东新区）、沿线铁路站点广告运营收入（东坡区含岷东新区）、运营款补贴收入（东坡区含岷东新区）、沿线土地开发收益（东坡区含岷东新区）进行偿还。项目收入用于本项目债券资金偿还。</t>
  </si>
  <si>
    <r>
      <rPr>
        <sz val="10"/>
        <color theme="1"/>
        <rFont val="宋体"/>
        <charset val="134"/>
      </rPr>
      <t>项目收益预测依据</t>
    </r>
  </si>
  <si>
    <t>项目取得的收入可以弥补本项目的运营成本、偿还债券本息等。收入参考类似项目收费的历史数据，若无历史数据则查询相关产品的市场价，若无市场价则参考可研报告相关数据，以确保项目收入的合理性和可行性。</t>
  </si>
  <si>
    <t>表2</t>
  </si>
  <si>
    <t>项目资金需求申报信息</t>
  </si>
  <si>
    <t>财政部门：（签章）</t>
  </si>
  <si>
    <t>主管部门：（签章）</t>
  </si>
  <si>
    <t>项目单位：（签章）</t>
  </si>
  <si>
    <t>申报日期</t>
  </si>
  <si>
    <t>申报批次</t>
  </si>
  <si>
    <t>经办人</t>
  </si>
  <si>
    <t>申请年度</t>
  </si>
  <si>
    <t>债券类型</t>
  </si>
  <si>
    <t>债券期限</t>
  </si>
  <si>
    <r>
      <rPr>
        <sz val="12"/>
        <rFont val="宋体"/>
        <charset val="134"/>
      </rPr>
      <t>2</t>
    </r>
    <r>
      <rPr>
        <sz val="12"/>
        <rFont val="宋体"/>
        <charset val="134"/>
      </rPr>
      <t>022年申请金额</t>
    </r>
  </si>
  <si>
    <t>其中：专项债券用作资本金</t>
  </si>
  <si>
    <t>2023年申请金额</t>
  </si>
  <si>
    <t>2024年申请金额</t>
  </si>
  <si>
    <t>2025年申请金额</t>
  </si>
  <si>
    <t>2026年申请金额</t>
  </si>
  <si>
    <t>项目专项收入偿还</t>
  </si>
  <si>
    <t>政府性基金科目</t>
  </si>
  <si>
    <t>政府性基金偿还</t>
  </si>
  <si>
    <t>申请总金额</t>
  </si>
  <si>
    <t>支出功能分类</t>
  </si>
  <si>
    <t>支出经济分类</t>
  </si>
  <si>
    <t>是否专项债券用作资本金</t>
  </si>
  <si>
    <t>资本金领域</t>
  </si>
  <si>
    <t>是否组合融资项目</t>
  </si>
  <si>
    <t>专项债券用作资本金总金额</t>
  </si>
  <si>
    <t>市场化融资总金额</t>
  </si>
  <si>
    <t>备注</t>
  </si>
  <si>
    <t>单位：亿元</t>
  </si>
  <si>
    <t>三、项目详细信息</t>
  </si>
  <si>
    <r>
      <rPr>
        <b/>
        <sz val="11"/>
        <rFont val="宋体"/>
        <charset val="134"/>
      </rPr>
      <t>项目</t>
    </r>
    <r>
      <rPr>
        <b/>
        <sz val="11"/>
        <rFont val="Times New Roman"/>
        <charset val="134"/>
      </rPr>
      <t>1</t>
    </r>
  </si>
  <si>
    <t>项目名称</t>
  </si>
  <si>
    <t>市域（郊）铁路成都至眉山线工程（眉山段-眉山市东坡区区域）</t>
  </si>
  <si>
    <t>项目类型</t>
  </si>
  <si>
    <t>轨道交通</t>
  </si>
  <si>
    <t>本只专项债券中用于该项目的金额</t>
  </si>
  <si>
    <r>
      <rPr>
        <sz val="11"/>
        <rFont val="Times New Roman"/>
        <charset val="134"/>
      </rPr>
      <t xml:space="preserve">  </t>
    </r>
    <r>
      <rPr>
        <sz val="11"/>
        <rFont val="宋体"/>
        <charset val="134"/>
      </rPr>
      <t>其中：用于符合条件的重大项目资本金的金额</t>
    </r>
  </si>
  <si>
    <t>项目简要描述</t>
  </si>
  <si>
    <t>线路全长59.139公里（成都范围内长度19.282公里，眉山范围内长度39.857公里），其中地下段长10.077公里，高架段长46.180公里，路基段长2.882公里。线路起自成都轨道交通19号线红莲站，止于眉山市东坡区眉山东站，沿线串联天府文创城、视高、南天府公园、乐高、黑龙滩、岷东新区。全线共设置车站13座，其中地下站5座，高架站8座；设高崩村车辆段1座和眉山北停车场1座；主变电所2座，控制中心设置于车辆段内。设与19号线联络线。全线永久征地2134亩，房屋拆迁310171平方米。线路在南天府公园站预留了远期仁寿支线接轨条件。</t>
  </si>
  <si>
    <t>项目建设期</t>
  </si>
  <si>
    <t>项目运营期</t>
  </si>
  <si>
    <t>项目总投资</t>
  </si>
  <si>
    <t>其中：不含专项债券的项目资本金</t>
  </si>
  <si>
    <t>专项债券融资</t>
  </si>
  <si>
    <t>其他债务融资</t>
  </si>
  <si>
    <t>项目分年融资计划</t>
  </si>
  <si>
    <t/>
  </si>
  <si>
    <r>
      <rPr>
        <sz val="11"/>
        <rFont val="Times New Roman"/>
        <charset val="134"/>
      </rPr>
      <t>2021</t>
    </r>
    <r>
      <rPr>
        <sz val="11"/>
        <rFont val="宋体"/>
        <charset val="134"/>
      </rPr>
      <t>年及以前年度</t>
    </r>
  </si>
  <si>
    <r>
      <rPr>
        <sz val="11"/>
        <rFont val="Times New Roman"/>
        <charset val="134"/>
      </rPr>
      <t>2022</t>
    </r>
    <r>
      <rPr>
        <sz val="11"/>
        <rFont val="宋体"/>
        <charset val="134"/>
      </rPr>
      <t>年</t>
    </r>
  </si>
  <si>
    <r>
      <rPr>
        <sz val="11"/>
        <rFont val="Times New Roman"/>
        <charset val="134"/>
      </rPr>
      <t>2023</t>
    </r>
    <r>
      <rPr>
        <sz val="11"/>
        <rFont val="宋体"/>
        <charset val="134"/>
      </rPr>
      <t>年</t>
    </r>
  </si>
  <si>
    <r>
      <rPr>
        <sz val="11"/>
        <rFont val="Times New Roman"/>
        <charset val="134"/>
      </rPr>
      <t>2024</t>
    </r>
    <r>
      <rPr>
        <sz val="11"/>
        <rFont val="宋体"/>
        <charset val="134"/>
      </rPr>
      <t>年</t>
    </r>
  </si>
  <si>
    <r>
      <rPr>
        <sz val="11"/>
        <rFont val="Times New Roman"/>
        <charset val="134"/>
      </rPr>
      <t>2025</t>
    </r>
    <r>
      <rPr>
        <sz val="11"/>
        <rFont val="宋体"/>
        <charset val="134"/>
      </rPr>
      <t>年</t>
    </r>
  </si>
  <si>
    <r>
      <rPr>
        <sz val="11"/>
        <rFont val="Times New Roman"/>
        <charset val="134"/>
      </rPr>
      <t>2026</t>
    </r>
    <r>
      <rPr>
        <sz val="11"/>
        <rFont val="宋体"/>
        <charset val="134"/>
      </rPr>
      <t>年</t>
    </r>
  </si>
  <si>
    <r>
      <rPr>
        <sz val="11"/>
        <rFont val="Times New Roman"/>
        <charset val="134"/>
      </rPr>
      <t>2027</t>
    </r>
    <r>
      <rPr>
        <sz val="11"/>
        <rFont val="宋体"/>
        <charset val="134"/>
      </rPr>
      <t>年</t>
    </r>
  </si>
  <si>
    <r>
      <rPr>
        <sz val="11"/>
        <rFont val="Times New Roman"/>
        <charset val="134"/>
      </rPr>
      <t>2028</t>
    </r>
    <r>
      <rPr>
        <sz val="11"/>
        <rFont val="宋体"/>
        <charset val="134"/>
      </rPr>
      <t>年</t>
    </r>
  </si>
  <si>
    <r>
      <rPr>
        <sz val="11"/>
        <rFont val="Times New Roman"/>
        <charset val="134"/>
      </rPr>
      <t>2029</t>
    </r>
    <r>
      <rPr>
        <sz val="11"/>
        <rFont val="宋体"/>
        <charset val="134"/>
      </rPr>
      <t>年及以后年度</t>
    </r>
  </si>
  <si>
    <t>债券存续期内项目总收益</t>
  </si>
  <si>
    <t>债券存续期内项目分年收益</t>
  </si>
  <si>
    <r>
      <rPr>
        <sz val="11"/>
        <rFont val="Times New Roman"/>
        <charset val="134"/>
      </rPr>
      <t>2029</t>
    </r>
    <r>
      <rPr>
        <sz val="11"/>
        <rFont val="宋体"/>
        <charset val="134"/>
      </rPr>
      <t>年</t>
    </r>
  </si>
  <si>
    <r>
      <rPr>
        <sz val="11"/>
        <rFont val="Times New Roman"/>
        <charset val="134"/>
      </rPr>
      <t>2030</t>
    </r>
    <r>
      <rPr>
        <sz val="11"/>
        <rFont val="宋体"/>
        <charset val="134"/>
      </rPr>
      <t>年</t>
    </r>
  </si>
  <si>
    <r>
      <rPr>
        <sz val="11"/>
        <rFont val="Times New Roman"/>
        <charset val="134"/>
      </rPr>
      <t>2031</t>
    </r>
    <r>
      <rPr>
        <sz val="11"/>
        <rFont val="宋体"/>
        <charset val="134"/>
      </rPr>
      <t>年</t>
    </r>
  </si>
  <si>
    <r>
      <rPr>
        <sz val="11"/>
        <rFont val="Times New Roman"/>
        <charset val="134"/>
      </rPr>
      <t>2032</t>
    </r>
    <r>
      <rPr>
        <sz val="11"/>
        <rFont val="宋体"/>
        <charset val="134"/>
      </rPr>
      <t>年</t>
    </r>
  </si>
  <si>
    <r>
      <rPr>
        <sz val="11"/>
        <rFont val="Times New Roman"/>
        <charset val="134"/>
      </rPr>
      <t>2033</t>
    </r>
    <r>
      <rPr>
        <sz val="11"/>
        <rFont val="宋体"/>
        <charset val="134"/>
      </rPr>
      <t>年</t>
    </r>
  </si>
  <si>
    <r>
      <rPr>
        <sz val="11"/>
        <rFont val="Times New Roman"/>
        <charset val="134"/>
      </rPr>
      <t>2034</t>
    </r>
    <r>
      <rPr>
        <sz val="11"/>
        <rFont val="宋体"/>
        <charset val="134"/>
      </rPr>
      <t>年</t>
    </r>
  </si>
  <si>
    <r>
      <rPr>
        <sz val="11"/>
        <rFont val="Times New Roman"/>
        <charset val="134"/>
      </rPr>
      <t>2035</t>
    </r>
    <r>
      <rPr>
        <sz val="11"/>
        <rFont val="宋体"/>
        <charset val="134"/>
      </rPr>
      <t>年</t>
    </r>
  </si>
  <si>
    <r>
      <rPr>
        <sz val="11"/>
        <rFont val="Times New Roman"/>
        <charset val="134"/>
      </rPr>
      <t>2036</t>
    </r>
    <r>
      <rPr>
        <sz val="11"/>
        <rFont val="宋体"/>
        <charset val="134"/>
      </rPr>
      <t>年</t>
    </r>
  </si>
  <si>
    <r>
      <rPr>
        <sz val="11"/>
        <rFont val="Times New Roman"/>
        <charset val="134"/>
      </rPr>
      <t>2037</t>
    </r>
    <r>
      <rPr>
        <sz val="11"/>
        <rFont val="宋体"/>
        <charset val="134"/>
      </rPr>
      <t>年</t>
    </r>
  </si>
  <si>
    <r>
      <rPr>
        <sz val="11"/>
        <rFont val="Times New Roman"/>
        <charset val="134"/>
      </rPr>
      <t>2038</t>
    </r>
    <r>
      <rPr>
        <sz val="11"/>
        <rFont val="宋体"/>
        <charset val="134"/>
      </rPr>
      <t>年</t>
    </r>
  </si>
  <si>
    <r>
      <rPr>
        <sz val="11"/>
        <rFont val="Times New Roman"/>
        <charset val="134"/>
      </rPr>
      <t>2039</t>
    </r>
    <r>
      <rPr>
        <sz val="11"/>
        <rFont val="宋体"/>
        <charset val="134"/>
      </rPr>
      <t>年</t>
    </r>
  </si>
  <si>
    <r>
      <rPr>
        <sz val="11"/>
        <rFont val="Times New Roman"/>
        <charset val="134"/>
      </rPr>
      <t>2040</t>
    </r>
    <r>
      <rPr>
        <sz val="11"/>
        <rFont val="宋体"/>
        <charset val="134"/>
      </rPr>
      <t>年</t>
    </r>
  </si>
  <si>
    <r>
      <rPr>
        <sz val="11"/>
        <rFont val="Times New Roman"/>
        <charset val="134"/>
      </rPr>
      <t>2041</t>
    </r>
    <r>
      <rPr>
        <sz val="11"/>
        <rFont val="宋体"/>
        <charset val="134"/>
      </rPr>
      <t>年</t>
    </r>
  </si>
  <si>
    <r>
      <rPr>
        <sz val="11"/>
        <rFont val="Times New Roman"/>
        <charset val="134"/>
      </rPr>
      <t>2042</t>
    </r>
    <r>
      <rPr>
        <sz val="11"/>
        <rFont val="宋体"/>
        <charset val="134"/>
      </rPr>
      <t>年</t>
    </r>
  </si>
  <si>
    <r>
      <rPr>
        <sz val="11"/>
        <rFont val="Times New Roman"/>
        <charset val="134"/>
      </rPr>
      <t>2043</t>
    </r>
    <r>
      <rPr>
        <sz val="11"/>
        <rFont val="宋体"/>
        <charset val="134"/>
      </rPr>
      <t>年</t>
    </r>
  </si>
  <si>
    <r>
      <rPr>
        <sz val="11"/>
        <rFont val="Times New Roman"/>
        <charset val="134"/>
      </rPr>
      <t>2044</t>
    </r>
    <r>
      <rPr>
        <sz val="11"/>
        <rFont val="宋体"/>
        <charset val="134"/>
      </rPr>
      <t>年</t>
    </r>
  </si>
  <si>
    <r>
      <rPr>
        <sz val="11"/>
        <rFont val="Times New Roman"/>
        <charset val="134"/>
      </rPr>
      <t>2045</t>
    </r>
    <r>
      <rPr>
        <sz val="11"/>
        <rFont val="宋体"/>
        <charset val="134"/>
      </rPr>
      <t>年</t>
    </r>
  </si>
  <si>
    <r>
      <rPr>
        <sz val="11"/>
        <rFont val="Times New Roman"/>
        <charset val="134"/>
      </rPr>
      <t>2046</t>
    </r>
    <r>
      <rPr>
        <sz val="11"/>
        <rFont val="宋体"/>
        <charset val="134"/>
      </rPr>
      <t>年</t>
    </r>
  </si>
  <si>
    <r>
      <rPr>
        <sz val="11"/>
        <rFont val="Times New Roman"/>
        <charset val="134"/>
      </rPr>
      <t>2047</t>
    </r>
    <r>
      <rPr>
        <sz val="11"/>
        <rFont val="宋体"/>
        <charset val="134"/>
      </rPr>
      <t>年</t>
    </r>
  </si>
  <si>
    <r>
      <rPr>
        <sz val="11"/>
        <rFont val="Times New Roman"/>
        <charset val="134"/>
      </rPr>
      <t>2048</t>
    </r>
    <r>
      <rPr>
        <sz val="11"/>
        <rFont val="宋体"/>
        <charset val="134"/>
      </rPr>
      <t>年</t>
    </r>
  </si>
  <si>
    <r>
      <rPr>
        <sz val="11"/>
        <rFont val="Times New Roman"/>
        <charset val="134"/>
      </rPr>
      <t>2049</t>
    </r>
    <r>
      <rPr>
        <sz val="11"/>
        <rFont val="宋体"/>
        <charset val="134"/>
      </rPr>
      <t>年</t>
    </r>
  </si>
  <si>
    <r>
      <rPr>
        <sz val="11"/>
        <rFont val="Times New Roman"/>
        <charset val="134"/>
      </rPr>
      <t>2050</t>
    </r>
    <r>
      <rPr>
        <sz val="11"/>
        <rFont val="宋体"/>
        <charset val="134"/>
      </rPr>
      <t>年</t>
    </r>
  </si>
  <si>
    <r>
      <rPr>
        <sz val="11"/>
        <rFont val="Times New Roman"/>
        <charset val="134"/>
      </rPr>
      <t>2051</t>
    </r>
    <r>
      <rPr>
        <sz val="11"/>
        <rFont val="宋体"/>
        <charset val="134"/>
      </rPr>
      <t>年</t>
    </r>
  </si>
  <si>
    <r>
      <rPr>
        <sz val="11"/>
        <rFont val="Times New Roman"/>
        <charset val="134"/>
      </rPr>
      <t>2052</t>
    </r>
    <r>
      <rPr>
        <sz val="11"/>
        <rFont val="宋体"/>
        <charset val="134"/>
      </rPr>
      <t>年</t>
    </r>
  </si>
  <si>
    <r>
      <rPr>
        <sz val="11"/>
        <rFont val="Times New Roman"/>
        <charset val="134"/>
      </rPr>
      <t>2053</t>
    </r>
    <r>
      <rPr>
        <sz val="11"/>
        <rFont val="宋体"/>
        <charset val="134"/>
      </rPr>
      <t>年</t>
    </r>
  </si>
  <si>
    <r>
      <rPr>
        <sz val="11"/>
        <rFont val="Times New Roman"/>
        <charset val="134"/>
      </rPr>
      <t>2054</t>
    </r>
    <r>
      <rPr>
        <sz val="11"/>
        <rFont val="宋体"/>
        <charset val="134"/>
      </rPr>
      <t>年</t>
    </r>
  </si>
  <si>
    <r>
      <rPr>
        <sz val="11"/>
        <rFont val="Times New Roman"/>
        <charset val="134"/>
      </rPr>
      <t>2055</t>
    </r>
    <r>
      <rPr>
        <sz val="11"/>
        <rFont val="宋体"/>
        <charset val="134"/>
      </rPr>
      <t>年</t>
    </r>
  </si>
  <si>
    <r>
      <rPr>
        <sz val="11"/>
        <rFont val="Times New Roman"/>
        <charset val="134"/>
      </rPr>
      <t>2056</t>
    </r>
    <r>
      <rPr>
        <sz val="11"/>
        <rFont val="宋体"/>
        <charset val="134"/>
      </rPr>
      <t>年</t>
    </r>
  </si>
  <si>
    <r>
      <rPr>
        <sz val="11"/>
        <rFont val="Times New Roman"/>
        <charset val="134"/>
      </rPr>
      <t>2057</t>
    </r>
    <r>
      <rPr>
        <sz val="11"/>
        <rFont val="宋体"/>
        <charset val="134"/>
      </rPr>
      <t>年</t>
    </r>
  </si>
  <si>
    <r>
      <rPr>
        <sz val="11"/>
        <rFont val="宋体"/>
        <charset val="134"/>
      </rPr>
      <t>项目总收益</t>
    </r>
    <r>
      <rPr>
        <sz val="11"/>
        <rFont val="Times New Roman"/>
        <charset val="134"/>
      </rPr>
      <t>/</t>
    </r>
    <r>
      <rPr>
        <sz val="11"/>
        <rFont val="宋体"/>
        <charset val="134"/>
      </rPr>
      <t>项目总投资</t>
    </r>
  </si>
  <si>
    <t>项目总债务融资本息</t>
  </si>
  <si>
    <r>
      <rPr>
        <sz val="11"/>
        <rFont val="宋体"/>
        <charset val="134"/>
      </rPr>
      <t>项目总收益</t>
    </r>
    <r>
      <rPr>
        <sz val="11"/>
        <rFont val="Times New Roman"/>
        <charset val="134"/>
      </rPr>
      <t>/</t>
    </r>
    <r>
      <rPr>
        <sz val="11"/>
        <rFont val="宋体"/>
        <charset val="134"/>
      </rPr>
      <t>项目总债务融资本息</t>
    </r>
  </si>
  <si>
    <t>项目总债务融资本金</t>
  </si>
  <si>
    <r>
      <rPr>
        <sz val="11"/>
        <rFont val="宋体"/>
        <charset val="134"/>
      </rPr>
      <t>项目总收益</t>
    </r>
    <r>
      <rPr>
        <sz val="11"/>
        <rFont val="Times New Roman"/>
        <charset val="134"/>
      </rPr>
      <t>/</t>
    </r>
    <r>
      <rPr>
        <sz val="11"/>
        <rFont val="宋体"/>
        <charset val="134"/>
      </rPr>
      <t>项目总债务融资本金</t>
    </r>
  </si>
  <si>
    <t>项目总地方债券融资本息</t>
  </si>
  <si>
    <r>
      <rPr>
        <sz val="11"/>
        <rFont val="宋体"/>
        <charset val="134"/>
      </rPr>
      <t>项目总收益</t>
    </r>
    <r>
      <rPr>
        <sz val="11"/>
        <rFont val="Times New Roman"/>
        <charset val="134"/>
      </rPr>
      <t>/</t>
    </r>
    <r>
      <rPr>
        <sz val="11"/>
        <rFont val="宋体"/>
        <charset val="134"/>
      </rPr>
      <t>项目总地方债券融资本息</t>
    </r>
  </si>
  <si>
    <t>项目总地方债券融资本金</t>
  </si>
  <si>
    <r>
      <rPr>
        <sz val="11"/>
        <rFont val="宋体"/>
        <charset val="134"/>
      </rPr>
      <t>项目总收益</t>
    </r>
    <r>
      <rPr>
        <sz val="11"/>
        <rFont val="Times New Roman"/>
        <charset val="134"/>
      </rPr>
      <t>/</t>
    </r>
    <r>
      <rPr>
        <sz val="11"/>
        <rFont val="宋体"/>
        <charset val="134"/>
      </rPr>
      <t>项目总地方债券融资本金</t>
    </r>
  </si>
  <si>
    <t>项目收益预测依据</t>
  </si>
  <si>
    <t>通过眉山段票务收入（东坡区含岷东新区）、沿线铁路站点广告运营收入（东坡区含岷东新区）、运营款补贴收入（东坡区含岷东新区）、沿线土地开发收益（东坡区含岷东新区）进行偿还。项目收入用于本项目债券资金偿还。项目取得的收入可以弥补本项目的运营成本、偿还债券本息等。收入参考类似项目收费的历史数据，若无历史数据则查询相关产品的市场价，若无市场价则参考可研报告相关数据，以确保项目收入的合理性和可行性。</t>
  </si>
  <si>
    <r>
      <rPr>
        <sz val="11"/>
        <rFont val="宋体"/>
        <charset val="134"/>
      </rPr>
      <t>注：</t>
    </r>
    <r>
      <rPr>
        <sz val="11"/>
        <rFont val="Times New Roman"/>
        <charset val="134"/>
      </rPr>
      <t>1.</t>
    </r>
    <r>
      <rPr>
        <sz val="11"/>
        <rFont val="宋体"/>
        <charset val="134"/>
      </rPr>
      <t>本表中项目总收益指的是债券存续期内的项目总收益。</t>
    </r>
    <r>
      <rPr>
        <sz val="11"/>
        <rFont val="Times New Roman"/>
        <charset val="134"/>
      </rPr>
      <t xml:space="preserve">
    2.</t>
    </r>
    <r>
      <rPr>
        <sz val="11"/>
        <rFont val="宋体"/>
        <charset val="134"/>
      </rPr>
      <t>历史年度的项目收益填写实际数据，未来年度的项目收益填写预测数据。</t>
    </r>
  </si>
  <si>
    <t>收支类别</t>
  </si>
  <si>
    <t>公式</t>
  </si>
  <si>
    <t>合计</t>
  </si>
  <si>
    <t>第一年</t>
  </si>
  <si>
    <t>第二年</t>
  </si>
  <si>
    <t>第三年</t>
  </si>
  <si>
    <t>第四年</t>
  </si>
  <si>
    <t>第五年</t>
  </si>
  <si>
    <t>第六年</t>
  </si>
  <si>
    <t>第七年</t>
  </si>
  <si>
    <t>第八年</t>
  </si>
  <si>
    <t>第九年</t>
  </si>
  <si>
    <t>第十年</t>
  </si>
  <si>
    <t>第十一年</t>
  </si>
  <si>
    <t>第十二年</t>
  </si>
  <si>
    <t>第十三年</t>
  </si>
  <si>
    <t>第十四年</t>
  </si>
  <si>
    <t>第十五年</t>
  </si>
  <si>
    <t>第十六年</t>
  </si>
  <si>
    <t>第十七年</t>
  </si>
  <si>
    <t>第十八年</t>
  </si>
  <si>
    <t>第十九年</t>
  </si>
  <si>
    <t>第二十年</t>
  </si>
  <si>
    <t>第二十一年</t>
  </si>
  <si>
    <t>第二十二年</t>
  </si>
  <si>
    <t>第二十三年</t>
  </si>
  <si>
    <t>第二十四年</t>
  </si>
  <si>
    <t>第二十五年</t>
  </si>
  <si>
    <t>第二十六年</t>
  </si>
  <si>
    <t>第二十七年</t>
  </si>
  <si>
    <t>第二十八年</t>
  </si>
  <si>
    <t>第二十九年</t>
  </si>
  <si>
    <t>第三十年</t>
  </si>
  <si>
    <t>三十年以后</t>
  </si>
  <si>
    <t>收入</t>
  </si>
  <si>
    <t>支出</t>
  </si>
  <si>
    <t>一、建设资金来源</t>
  </si>
  <si>
    <t>A=H+I+K+L+M</t>
  </si>
  <si>
    <t>-</t>
  </si>
  <si>
    <t>（一）财政安排资金</t>
  </si>
  <si>
    <t>H</t>
  </si>
  <si>
    <t>（二）地方政府专项债券</t>
  </si>
  <si>
    <t>I</t>
  </si>
  <si>
    <r>
      <rPr>
        <sz val="10"/>
        <rFont val="Times New Roman"/>
        <charset val="134"/>
      </rPr>
      <t xml:space="preserve">         </t>
    </r>
    <r>
      <rPr>
        <sz val="10"/>
        <rFont val="宋体"/>
        <charset val="134"/>
      </rPr>
      <t>其中：用于资本金</t>
    </r>
  </si>
  <si>
    <t>J</t>
  </si>
  <si>
    <t>（三）项目单位市场化融资</t>
  </si>
  <si>
    <t>K</t>
  </si>
  <si>
    <t>（四）单位自筹资金</t>
  </si>
  <si>
    <t>L</t>
  </si>
  <si>
    <t>（五）其他资金</t>
  </si>
  <si>
    <t>M</t>
  </si>
  <si>
    <t>二、项目建设支出</t>
  </si>
  <si>
    <t>B=N+O+P+Q</t>
  </si>
  <si>
    <t>（一）项目建设成本（不含财务费用）</t>
  </si>
  <si>
    <t>N</t>
  </si>
  <si>
    <r>
      <rPr>
        <sz val="10"/>
        <rFont val="宋体"/>
        <charset val="134"/>
      </rPr>
      <t>（二）财务费用</t>
    </r>
    <r>
      <rPr>
        <sz val="10"/>
        <rFont val="Times New Roman"/>
        <charset val="134"/>
      </rPr>
      <t>-</t>
    </r>
    <r>
      <rPr>
        <sz val="10"/>
        <rFont val="宋体"/>
        <charset val="134"/>
      </rPr>
      <t>专项债券付息</t>
    </r>
  </si>
  <si>
    <t>O</t>
  </si>
  <si>
    <r>
      <rPr>
        <sz val="10"/>
        <rFont val="宋体"/>
        <charset val="134"/>
      </rPr>
      <t>（三）财务费用</t>
    </r>
    <r>
      <rPr>
        <sz val="10"/>
        <rFont val="Times New Roman"/>
        <charset val="134"/>
      </rPr>
      <t>-</t>
    </r>
    <r>
      <rPr>
        <sz val="10"/>
        <rFont val="宋体"/>
        <charset val="134"/>
      </rPr>
      <t>市场化融资付息</t>
    </r>
  </si>
  <si>
    <t>P</t>
  </si>
  <si>
    <t>（四）其他建设支出</t>
  </si>
  <si>
    <t>Q</t>
  </si>
  <si>
    <t>三、项目运营预期收入</t>
  </si>
  <si>
    <t>C=R+S+T</t>
  </si>
  <si>
    <t>（一）财政补贴收入</t>
  </si>
  <si>
    <t>R</t>
  </si>
  <si>
    <t>（二）项目自身运营收入</t>
  </si>
  <si>
    <t>S</t>
  </si>
  <si>
    <t>（三）其他收入</t>
  </si>
  <si>
    <t>T</t>
  </si>
  <si>
    <t>四、项目运营支出</t>
  </si>
  <si>
    <t>D=U+V+W+X</t>
  </si>
  <si>
    <t>（一）项目运营成本（不含财务费用）</t>
  </si>
  <si>
    <t>U</t>
  </si>
  <si>
    <r>
      <rPr>
        <sz val="10"/>
        <rFont val="宋体"/>
        <charset val="134"/>
      </rPr>
      <t>（二）财务费用</t>
    </r>
    <r>
      <rPr>
        <sz val="10"/>
        <rFont val="Times New Roman"/>
        <charset val="134"/>
      </rPr>
      <t>-</t>
    </r>
    <r>
      <rPr>
        <sz val="10"/>
        <rFont val="宋体"/>
        <charset val="134"/>
      </rPr>
      <t>专项债券付息支出</t>
    </r>
  </si>
  <si>
    <t>V</t>
  </si>
  <si>
    <r>
      <rPr>
        <sz val="10"/>
        <rFont val="宋体"/>
        <charset val="134"/>
      </rPr>
      <t>（三）财务费用</t>
    </r>
    <r>
      <rPr>
        <sz val="10"/>
        <rFont val="Times New Roman"/>
        <charset val="134"/>
      </rPr>
      <t>-</t>
    </r>
    <r>
      <rPr>
        <sz val="10"/>
        <rFont val="宋体"/>
        <charset val="134"/>
      </rPr>
      <t>市场化融资付息支出</t>
    </r>
  </si>
  <si>
    <t>W</t>
  </si>
  <si>
    <t>（四）其他运营支出</t>
  </si>
  <si>
    <t>X</t>
  </si>
  <si>
    <t>五、专项债券还本</t>
  </si>
  <si>
    <t>E</t>
  </si>
  <si>
    <t>六、市场化融资还本</t>
  </si>
  <si>
    <t>F</t>
  </si>
  <si>
    <t>请输入项目期限（年）：</t>
  </si>
  <si>
    <t>请输入项目建设期（年）：</t>
  </si>
  <si>
    <t>请输入项目运营期（年）：</t>
  </si>
  <si>
    <t>付息利率：</t>
  </si>
  <si>
    <t>发债年度</t>
  </si>
  <si>
    <t>还本年度</t>
  </si>
  <si>
    <t xml:space="preserve">注意：1.部分列被锁定无法编辑，这些列不用填写 </t>
  </si>
  <si>
    <t>年度</t>
  </si>
  <si>
    <t>当年收入总计</t>
  </si>
  <si>
    <t>项目产生的政府性基金收入</t>
  </si>
  <si>
    <t>项目运营财政补助收入</t>
  </si>
  <si>
    <t>项目其他经营收入</t>
  </si>
  <si>
    <t>其他收入</t>
  </si>
  <si>
    <t>项目运营成本</t>
  </si>
  <si>
    <t>2026</t>
  </si>
  <si>
    <t>2027</t>
  </si>
  <si>
    <t>2028</t>
  </si>
  <si>
    <t>2029</t>
  </si>
  <si>
    <t>2030</t>
  </si>
  <si>
    <t>2031</t>
  </si>
  <si>
    <t>2032</t>
  </si>
  <si>
    <t>2033</t>
  </si>
  <si>
    <t>2034</t>
  </si>
  <si>
    <t>2035</t>
  </si>
  <si>
    <t>2036</t>
  </si>
  <si>
    <t>2037</t>
  </si>
  <si>
    <t>2038</t>
  </si>
  <si>
    <t>2039</t>
  </si>
  <si>
    <t>2040</t>
  </si>
  <si>
    <t>2041</t>
  </si>
  <si>
    <t>2042</t>
  </si>
  <si>
    <t>2043</t>
  </si>
  <si>
    <t>2044</t>
  </si>
  <si>
    <t>2045</t>
  </si>
  <si>
    <t>2046</t>
  </si>
  <si>
    <t>2047</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</si>
</sst>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quot;亿&quot;"/>
  </numFmts>
  <fonts count="40">
    <font>
      <sz val="11"/>
      <color theme="1"/>
      <name val="宋体"/>
      <charset val="134"/>
      <scheme val="minor"/>
    </font>
    <font>
      <sz val="11"/>
      <name val="宋体"/>
      <charset val="134"/>
    </font>
    <font>
      <sz val="11"/>
      <color rgb="FFFF0000"/>
      <name val="宋体"/>
      <charset val="134"/>
      <scheme val="minor"/>
    </font>
    <font>
      <sz val="12"/>
      <name val="Times New Roman"/>
      <charset val="134"/>
    </font>
    <font>
      <sz val="12"/>
      <color rgb="FFFF0000"/>
      <name val="Times New Roman"/>
      <charset val="134"/>
    </font>
    <font>
      <sz val="10"/>
      <name val="Times New Roman"/>
      <charset val="134"/>
    </font>
    <font>
      <sz val="10"/>
      <name val="宋体"/>
      <charset val="134"/>
    </font>
    <font>
      <sz val="10"/>
      <name val="Times New Roman"/>
      <charset val="0"/>
    </font>
    <font>
      <sz val="12"/>
      <name val="宋体"/>
      <charset val="134"/>
    </font>
    <font>
      <b/>
      <sz val="11"/>
      <name val="宋体"/>
      <charset val="134"/>
    </font>
    <font>
      <b/>
      <sz val="11"/>
      <name val="Times New Roman"/>
      <charset val="134"/>
    </font>
    <font>
      <sz val="11"/>
      <name val="Times New Roman"/>
      <charset val="134"/>
    </font>
    <font>
      <b/>
      <sz val="12"/>
      <name val="宋体"/>
      <charset val="134"/>
    </font>
    <font>
      <sz val="16"/>
      <name val="方正小标宋简体"/>
      <charset val="134"/>
    </font>
    <font>
      <sz val="12"/>
      <name val="方正仿宋简体"/>
      <charset val="134"/>
    </font>
    <font>
      <sz val="20"/>
      <name val="方正小标宋简体"/>
      <charset val="134"/>
    </font>
    <font>
      <b/>
      <sz val="12"/>
      <name val="Times New Roman"/>
      <charset val="134"/>
    </font>
    <font>
      <sz val="20"/>
      <name val="Times New Roman"/>
      <charset val="134"/>
    </font>
    <font>
      <sz val="10"/>
      <color theme="1"/>
      <name val="Times New Roman"/>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Arial Narrow"/>
      <charset val="134"/>
    </font>
  </fonts>
  <fills count="36">
    <fill>
      <patternFill patternType="none"/>
    </fill>
    <fill>
      <patternFill patternType="gray125"/>
    </fill>
    <fill>
      <patternFill patternType="solid">
        <fgColor rgb="FFFFFF0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2"/>
        <bgColor indexed="64"/>
      </patternFill>
    </fill>
    <fill>
      <patternFill patternType="solid">
        <fgColor rgb="FFE6E6E6"/>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medium">
        <color rgb="FFEDEDED"/>
      </right>
      <top style="medium">
        <color rgb="FFC1DDF1"/>
      </top>
      <bottom/>
      <diagonal/>
    </border>
    <border>
      <left/>
      <right/>
      <top style="medium">
        <color rgb="FFC1DDF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alignment vertical="center"/>
    </xf>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8" fillId="0" borderId="0"/>
    <xf numFmtId="0" fontId="23" fillId="11"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2" borderId="13" applyNumberFormat="0" applyFont="0" applyAlignment="0" applyProtection="0">
      <alignment vertical="center"/>
    </xf>
    <xf numFmtId="0" fontId="8" fillId="0" borderId="0"/>
    <xf numFmtId="0" fontId="23" fillId="13"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8" fillId="0" borderId="0"/>
    <xf numFmtId="0" fontId="29" fillId="0" borderId="0" applyNumberFormat="0" applyFill="0" applyBorder="0" applyAlignment="0" applyProtection="0">
      <alignment vertical="center"/>
    </xf>
    <xf numFmtId="0" fontId="30" fillId="0" borderId="14" applyNumberFormat="0" applyFill="0" applyAlignment="0" applyProtection="0">
      <alignment vertical="center"/>
    </xf>
    <xf numFmtId="0" fontId="31" fillId="0" borderId="14" applyNumberFormat="0" applyFill="0" applyAlignment="0" applyProtection="0">
      <alignment vertical="center"/>
    </xf>
    <xf numFmtId="0" fontId="23" fillId="14" borderId="0" applyNumberFormat="0" applyBorder="0" applyAlignment="0" applyProtection="0">
      <alignment vertical="center"/>
    </xf>
    <xf numFmtId="0" fontId="26" fillId="0" borderId="15" applyNumberFormat="0" applyFill="0" applyAlignment="0" applyProtection="0">
      <alignment vertical="center"/>
    </xf>
    <xf numFmtId="0" fontId="23" fillId="15" borderId="0" applyNumberFormat="0" applyBorder="0" applyAlignment="0" applyProtection="0">
      <alignment vertical="center"/>
    </xf>
    <xf numFmtId="0" fontId="32" fillId="16" borderId="16" applyNumberFormat="0" applyAlignment="0" applyProtection="0">
      <alignment vertical="center"/>
    </xf>
    <xf numFmtId="0" fontId="33" fillId="16" borderId="12" applyNumberFormat="0" applyAlignment="0" applyProtection="0">
      <alignment vertical="center"/>
    </xf>
    <xf numFmtId="0" fontId="34" fillId="17" borderId="17" applyNumberFormat="0" applyAlignment="0" applyProtection="0">
      <alignment vertical="center"/>
    </xf>
    <xf numFmtId="0" fontId="20" fillId="18" borderId="0" applyNumberFormat="0" applyBorder="0" applyAlignment="0" applyProtection="0">
      <alignment vertical="center"/>
    </xf>
    <xf numFmtId="0" fontId="23" fillId="19" borderId="0" applyNumberFormat="0" applyBorder="0" applyAlignment="0" applyProtection="0">
      <alignment vertical="center"/>
    </xf>
    <xf numFmtId="0" fontId="35" fillId="0" borderId="18" applyNumberFormat="0" applyFill="0" applyAlignment="0" applyProtection="0">
      <alignment vertical="center"/>
    </xf>
    <xf numFmtId="0" fontId="36" fillId="0" borderId="19" applyNumberFormat="0" applyFill="0" applyAlignment="0" applyProtection="0">
      <alignment vertical="center"/>
    </xf>
    <xf numFmtId="0" fontId="37" fillId="20" borderId="0" applyNumberFormat="0" applyBorder="0" applyAlignment="0" applyProtection="0">
      <alignment vertical="center"/>
    </xf>
    <xf numFmtId="0" fontId="38" fillId="21" borderId="0" applyNumberFormat="0" applyBorder="0" applyAlignment="0" applyProtection="0">
      <alignment vertical="center"/>
    </xf>
    <xf numFmtId="0" fontId="20" fillId="22" borderId="0" applyNumberFormat="0" applyBorder="0" applyAlignment="0" applyProtection="0">
      <alignment vertical="center"/>
    </xf>
    <xf numFmtId="0" fontId="23" fillId="23" borderId="0" applyNumberFormat="0" applyBorder="0" applyAlignment="0" applyProtection="0">
      <alignment vertical="center"/>
    </xf>
    <xf numFmtId="0" fontId="0" fillId="0" borderId="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0" fillId="0" borderId="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0" fillId="30" borderId="0" applyNumberFormat="0" applyBorder="0" applyAlignment="0" applyProtection="0">
      <alignment vertical="center"/>
    </xf>
    <xf numFmtId="0" fontId="20" fillId="4" borderId="0" applyNumberFormat="0" applyBorder="0" applyAlignment="0" applyProtection="0">
      <alignment vertical="center"/>
    </xf>
    <xf numFmtId="0" fontId="23" fillId="31" borderId="0" applyNumberFormat="0" applyBorder="0" applyAlignment="0" applyProtection="0">
      <alignment vertical="center"/>
    </xf>
    <xf numFmtId="0" fontId="0" fillId="0" borderId="0">
      <alignment vertical="center"/>
    </xf>
    <xf numFmtId="0" fontId="20" fillId="32" borderId="0" applyNumberFormat="0" applyBorder="0" applyAlignment="0" applyProtection="0">
      <alignment vertical="center"/>
    </xf>
    <xf numFmtId="0" fontId="23" fillId="33" borderId="0" applyNumberFormat="0" applyBorder="0" applyAlignment="0" applyProtection="0">
      <alignment vertical="center"/>
    </xf>
    <xf numFmtId="0" fontId="23" fillId="34" borderId="0" applyNumberFormat="0" applyBorder="0" applyAlignment="0" applyProtection="0">
      <alignment vertical="center"/>
    </xf>
    <xf numFmtId="0" fontId="0" fillId="0" borderId="0">
      <alignment vertical="center"/>
    </xf>
    <xf numFmtId="0" fontId="20" fillId="3" borderId="0" applyNumberFormat="0" applyBorder="0" applyAlignment="0" applyProtection="0">
      <alignment vertical="center"/>
    </xf>
    <xf numFmtId="0" fontId="23" fillId="35" borderId="0" applyNumberFormat="0" applyBorder="0" applyAlignment="0" applyProtection="0">
      <alignment vertical="center"/>
    </xf>
    <xf numFmtId="0" fontId="8" fillId="0" borderId="0"/>
    <xf numFmtId="0" fontId="0" fillId="0" borderId="0">
      <alignment vertical="center"/>
    </xf>
    <xf numFmtId="0" fontId="8" fillId="0" borderId="0"/>
    <xf numFmtId="0" fontId="8" fillId="0" borderId="0"/>
    <xf numFmtId="0" fontId="8" fillId="0" borderId="0"/>
    <xf numFmtId="0" fontId="39" fillId="0" borderId="0">
      <alignment vertical="center"/>
    </xf>
    <xf numFmtId="43" fontId="39" fillId="0" borderId="0" applyFont="0" applyFill="0" applyBorder="0" applyAlignment="0" applyProtection="0">
      <alignment vertical="center"/>
    </xf>
    <xf numFmtId="0" fontId="0" fillId="0" borderId="0">
      <alignment vertical="center"/>
    </xf>
  </cellStyleXfs>
  <cellXfs count="138">
    <xf numFmtId="0" fontId="0" fillId="0" borderId="0" xfId="0">
      <alignment vertical="center"/>
    </xf>
    <xf numFmtId="0" fontId="1" fillId="0" borderId="0" xfId="0" applyFont="1" applyFill="1" applyAlignment="1">
      <alignment vertical="center"/>
    </xf>
    <xf numFmtId="0" fontId="1" fillId="2" borderId="0" xfId="0" applyFont="1" applyFill="1" applyAlignment="1">
      <alignment vertical="center"/>
    </xf>
    <xf numFmtId="49" fontId="2" fillId="0" borderId="0" xfId="0" applyNumberFormat="1" applyFont="1" applyFill="1" applyAlignment="1" applyProtection="1">
      <alignment horizontal="center" vertical="center"/>
      <protection locked="0"/>
    </xf>
    <xf numFmtId="49" fontId="0" fillId="0" borderId="0" xfId="0" applyNumberFormat="1" applyFont="1" applyFill="1" applyAlignment="1" applyProtection="1">
      <alignment horizontal="center" vertical="center"/>
      <protection locked="0"/>
    </xf>
    <xf numFmtId="49" fontId="0" fillId="2" borderId="0" xfId="0" applyNumberFormat="1" applyFont="1" applyFill="1" applyAlignment="1" applyProtection="1">
      <alignment horizontal="center" vertical="center"/>
      <protection locked="0"/>
    </xf>
    <xf numFmtId="49" fontId="0" fillId="0" borderId="1" xfId="0" applyNumberFormat="1" applyFont="1" applyFill="1" applyBorder="1" applyAlignment="1" applyProtection="1">
      <alignment horizontal="center" vertical="center"/>
      <protection locked="0"/>
    </xf>
    <xf numFmtId="176" fontId="0" fillId="0" borderId="1" xfId="0" applyNumberFormat="1" applyFont="1" applyFill="1" applyBorder="1" applyAlignment="1" applyProtection="1">
      <alignment horizontal="center" vertical="center"/>
    </xf>
    <xf numFmtId="176" fontId="0" fillId="0" borderId="1"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0" borderId="0" xfId="0" applyNumberFormat="1" applyFont="1" applyFill="1" applyAlignment="1" applyProtection="1">
      <alignment horizontal="center" vertical="center"/>
    </xf>
    <xf numFmtId="176" fontId="0" fillId="0" borderId="0" xfId="0" applyNumberFormat="1" applyFont="1" applyFill="1" applyAlignment="1" applyProtection="1">
      <alignment horizontal="center" vertical="center"/>
      <protection locked="0"/>
    </xf>
    <xf numFmtId="176" fontId="0" fillId="0" borderId="0" xfId="0" applyNumberFormat="1" applyFont="1" applyFill="1" applyAlignment="1" applyProtection="1">
      <alignment vertical="center"/>
      <protection locked="0"/>
    </xf>
    <xf numFmtId="176" fontId="0" fillId="2" borderId="0" xfId="0" applyNumberFormat="1" applyFont="1" applyFill="1" applyAlignment="1" applyProtection="1">
      <alignment vertical="center"/>
      <protection locked="0"/>
    </xf>
    <xf numFmtId="176" fontId="3" fillId="0" borderId="0" xfId="0" applyNumberFormat="1" applyFont="1" applyFill="1" applyBorder="1" applyAlignment="1">
      <alignment horizontal="center" vertical="center"/>
    </xf>
    <xf numFmtId="176" fontId="3" fillId="0" borderId="0" xfId="0" applyNumberFormat="1" applyFont="1" applyFill="1" applyBorder="1" applyAlignment="1">
      <alignment vertical="center"/>
    </xf>
    <xf numFmtId="176" fontId="3" fillId="0" borderId="0" xfId="0" applyNumberFormat="1" applyFont="1" applyFill="1" applyBorder="1" applyAlignment="1" applyProtection="1">
      <alignment vertical="center"/>
      <protection locked="0"/>
    </xf>
    <xf numFmtId="176" fontId="4" fillId="0" borderId="0" xfId="0" applyNumberFormat="1" applyFont="1" applyFill="1" applyBorder="1" applyAlignment="1" applyProtection="1">
      <alignment vertical="center"/>
      <protection locked="0"/>
    </xf>
    <xf numFmtId="176" fontId="3" fillId="0" borderId="0" xfId="0" applyNumberFormat="1" applyFont="1" applyFill="1" applyBorder="1" applyAlignment="1" applyProtection="1">
      <alignment vertical="center"/>
    </xf>
    <xf numFmtId="176" fontId="4" fillId="0" borderId="0" xfId="0" applyNumberFormat="1" applyFont="1" applyFill="1" applyBorder="1" applyAlignment="1" applyProtection="1">
      <alignment vertical="center"/>
    </xf>
    <xf numFmtId="0" fontId="3" fillId="0" borderId="0" xfId="0" applyFont="1" applyFill="1" applyBorder="1" applyAlignment="1" applyProtection="1">
      <alignment vertical="center"/>
    </xf>
    <xf numFmtId="0" fontId="3" fillId="3" borderId="0" xfId="0" applyFont="1" applyFill="1" applyBorder="1" applyAlignment="1">
      <alignment vertical="center"/>
    </xf>
    <xf numFmtId="0" fontId="3" fillId="4" borderId="0" xfId="0" applyFont="1" applyFill="1" applyBorder="1" applyAlignment="1">
      <alignment vertical="center"/>
    </xf>
    <xf numFmtId="0" fontId="3" fillId="0" borderId="0" xfId="0" applyFont="1" applyFill="1" applyBorder="1" applyAlignment="1">
      <alignment vertical="center"/>
    </xf>
    <xf numFmtId="0" fontId="5" fillId="0" borderId="0" xfId="0" applyFont="1" applyFill="1" applyBorder="1" applyAlignment="1" applyProtection="1">
      <alignment vertical="center"/>
    </xf>
    <xf numFmtId="0" fontId="5" fillId="0" borderId="0" xfId="0" applyFont="1" applyFill="1" applyBorder="1" applyAlignment="1">
      <alignment vertical="center"/>
    </xf>
    <xf numFmtId="0" fontId="6" fillId="0" borderId="0" xfId="0" applyFont="1" applyFill="1" applyBorder="1" applyAlignment="1" applyProtection="1">
      <alignment horizontal="center" vertical="center"/>
    </xf>
    <xf numFmtId="176" fontId="6" fillId="0" borderId="0"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6" fillId="0" borderId="0"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xf>
    <xf numFmtId="0" fontId="5" fillId="0" borderId="0" xfId="0" applyFont="1" applyFill="1" applyBorder="1" applyAlignment="1" applyProtection="1">
      <alignment horizontal="center" vertical="center"/>
    </xf>
    <xf numFmtId="0" fontId="6" fillId="5" borderId="2" xfId="0" applyFont="1" applyFill="1" applyBorder="1" applyAlignment="1" applyProtection="1">
      <alignment horizontal="left" vertical="top"/>
    </xf>
    <xf numFmtId="0" fontId="5" fillId="5" borderId="3" xfId="0" applyFont="1" applyFill="1" applyBorder="1" applyAlignment="1" applyProtection="1">
      <alignment horizontal="center" vertical="top"/>
    </xf>
    <xf numFmtId="176" fontId="5" fillId="6" borderId="3" xfId="0" applyNumberFormat="1" applyFont="1" applyFill="1" applyBorder="1" applyAlignment="1" applyProtection="1">
      <alignment horizontal="center" vertical="top"/>
    </xf>
    <xf numFmtId="176" fontId="5" fillId="5" borderId="0" xfId="0" applyNumberFormat="1" applyFont="1" applyFill="1" applyBorder="1" applyAlignment="1">
      <alignment vertical="center"/>
    </xf>
    <xf numFmtId="0" fontId="6" fillId="6" borderId="2" xfId="0" applyFont="1" applyFill="1" applyBorder="1" applyAlignment="1" applyProtection="1">
      <alignment horizontal="left" vertical="top"/>
    </xf>
    <xf numFmtId="0" fontId="5" fillId="6" borderId="3" xfId="0" applyFont="1" applyFill="1" applyBorder="1" applyAlignment="1" applyProtection="1">
      <alignment horizontal="center" vertical="top"/>
    </xf>
    <xf numFmtId="176" fontId="5" fillId="0" borderId="0" xfId="0" applyNumberFormat="1" applyFont="1" applyFill="1" applyBorder="1" applyAlignment="1" applyProtection="1">
      <alignment vertical="center"/>
      <protection locked="0"/>
    </xf>
    <xf numFmtId="0" fontId="5" fillId="6" borderId="2" xfId="0" applyFont="1" applyFill="1" applyBorder="1" applyAlignment="1" applyProtection="1">
      <alignment horizontal="left" vertical="top"/>
    </xf>
    <xf numFmtId="176" fontId="5" fillId="0" borderId="0" xfId="0" applyNumberFormat="1" applyFont="1" applyFill="1" applyBorder="1" applyAlignment="1" applyProtection="1">
      <alignment horizontal="center" vertical="center"/>
      <protection locked="0"/>
    </xf>
    <xf numFmtId="176" fontId="5" fillId="5" borderId="0" xfId="0" applyNumberFormat="1" applyFont="1" applyFill="1" applyBorder="1" applyAlignment="1" applyProtection="1">
      <alignment vertical="center"/>
    </xf>
    <xf numFmtId="176" fontId="7" fillId="0" borderId="0" xfId="0" applyNumberFormat="1" applyFont="1" applyFill="1" applyAlignment="1" applyProtection="1">
      <alignment vertical="center"/>
      <protection locked="0"/>
    </xf>
    <xf numFmtId="0" fontId="6" fillId="2" borderId="2" xfId="0" applyFont="1" applyFill="1" applyBorder="1" applyAlignment="1" applyProtection="1">
      <alignment horizontal="left" vertical="top"/>
    </xf>
    <xf numFmtId="0" fontId="5" fillId="0" borderId="2" xfId="0" applyFont="1" applyFill="1" applyBorder="1" applyAlignment="1" applyProtection="1">
      <alignment horizontal="center" vertical="center"/>
    </xf>
    <xf numFmtId="0" fontId="5" fillId="0" borderId="2" xfId="0" applyFont="1" applyFill="1" applyBorder="1" applyAlignment="1" applyProtection="1">
      <alignment horizontal="center" vertical="center"/>
      <protection locked="0"/>
    </xf>
    <xf numFmtId="0" fontId="5" fillId="6" borderId="2" xfId="0" applyFont="1" applyFill="1" applyBorder="1" applyAlignment="1" applyProtection="1">
      <alignment horizontal="center" vertical="center"/>
    </xf>
    <xf numFmtId="0" fontId="6" fillId="2" borderId="0" xfId="0" applyFont="1" applyFill="1" applyBorder="1" applyAlignment="1" applyProtection="1">
      <alignment vertical="center"/>
    </xf>
    <xf numFmtId="0" fontId="5" fillId="5" borderId="0" xfId="0" applyFont="1" applyFill="1" applyBorder="1" applyAlignment="1" applyProtection="1">
      <alignment horizontal="center" vertical="center"/>
    </xf>
    <xf numFmtId="0" fontId="6" fillId="3" borderId="0" xfId="0" applyFont="1" applyFill="1" applyBorder="1" applyAlignment="1" applyProtection="1">
      <alignment vertical="center"/>
    </xf>
    <xf numFmtId="0" fontId="5" fillId="3" borderId="0" xfId="0" applyFont="1" applyFill="1" applyBorder="1" applyAlignment="1" applyProtection="1">
      <alignment vertical="center"/>
    </xf>
    <xf numFmtId="0" fontId="5" fillId="3" borderId="0" xfId="0" applyFont="1" applyFill="1" applyBorder="1" applyAlignment="1">
      <alignment vertical="center"/>
    </xf>
    <xf numFmtId="0" fontId="6" fillId="4" borderId="0" xfId="0" applyFont="1" applyFill="1" applyBorder="1" applyAlignment="1" applyProtection="1">
      <alignment vertical="center"/>
    </xf>
    <xf numFmtId="0" fontId="5" fillId="4" borderId="0" xfId="0" applyFont="1" applyFill="1" applyBorder="1" applyAlignment="1" applyProtection="1">
      <alignment vertical="center"/>
    </xf>
    <xf numFmtId="0" fontId="5" fillId="4" borderId="0" xfId="0" applyFont="1" applyFill="1" applyBorder="1" applyAlignment="1">
      <alignment vertical="center"/>
    </xf>
    <xf numFmtId="0" fontId="8" fillId="0" borderId="0" xfId="0" applyFont="1" applyFill="1" applyBorder="1" applyAlignment="1" applyProtection="1">
      <alignment vertical="center"/>
    </xf>
    <xf numFmtId="176" fontId="7" fillId="0" borderId="0" xfId="0" applyNumberFormat="1" applyFont="1" applyFill="1" applyAlignment="1" applyProtection="1">
      <alignment horizontal="center" vertical="center"/>
    </xf>
    <xf numFmtId="0" fontId="8" fillId="0" borderId="0" xfId="0" applyFont="1" applyFill="1" applyBorder="1" applyAlignment="1">
      <alignment vertical="center"/>
    </xf>
    <xf numFmtId="0" fontId="9" fillId="0" borderId="0" xfId="57" applyFont="1" applyFill="1">
      <alignment vertical="center"/>
    </xf>
    <xf numFmtId="0" fontId="10" fillId="0" borderId="0" xfId="57" applyFont="1" applyFill="1">
      <alignment vertical="center"/>
    </xf>
    <xf numFmtId="0" fontId="1" fillId="0" borderId="1" xfId="41" applyFont="1" applyFill="1" applyBorder="1" applyAlignment="1">
      <alignment horizontal="left" vertical="center"/>
    </xf>
    <xf numFmtId="0" fontId="11" fillId="0" borderId="1" xfId="41" applyFont="1" applyFill="1" applyBorder="1" applyAlignment="1">
      <alignment horizontal="left" vertical="center"/>
    </xf>
    <xf numFmtId="0" fontId="1" fillId="0" borderId="1" xfId="41" applyFont="1" applyFill="1" applyBorder="1" applyAlignment="1">
      <alignment horizontal="center" vertical="center"/>
    </xf>
    <xf numFmtId="0" fontId="11" fillId="0" borderId="1" xfId="41" applyFont="1" applyFill="1" applyBorder="1" applyAlignment="1">
      <alignment horizontal="center" vertical="center"/>
    </xf>
    <xf numFmtId="0" fontId="1" fillId="0" borderId="4" xfId="41" applyFont="1" applyFill="1" applyBorder="1" applyAlignment="1">
      <alignment horizontal="left" vertical="center"/>
    </xf>
    <xf numFmtId="0" fontId="11" fillId="0" borderId="5" xfId="41" applyFont="1" applyFill="1" applyBorder="1" applyAlignment="1">
      <alignment horizontal="left" vertical="center"/>
    </xf>
    <xf numFmtId="0" fontId="11" fillId="0" borderId="6" xfId="41" applyFont="1" applyFill="1" applyBorder="1" applyAlignment="1">
      <alignment horizontal="left" vertical="center"/>
    </xf>
    <xf numFmtId="0" fontId="1" fillId="0" borderId="4" xfId="41" applyFont="1" applyFill="1" applyBorder="1" applyAlignment="1">
      <alignment horizontal="center" vertical="center"/>
    </xf>
    <xf numFmtId="0" fontId="11" fillId="0" borderId="5" xfId="41" applyFont="1" applyFill="1" applyBorder="1" applyAlignment="1">
      <alignment horizontal="center" vertical="center"/>
    </xf>
    <xf numFmtId="0" fontId="1" fillId="0" borderId="4" xfId="57" applyFont="1" applyFill="1" applyBorder="1" applyAlignment="1">
      <alignment horizontal="left" vertical="center"/>
    </xf>
    <xf numFmtId="0" fontId="11" fillId="0" borderId="5" xfId="57" applyFont="1" applyFill="1" applyBorder="1" applyAlignment="1">
      <alignment horizontal="left" vertical="center"/>
    </xf>
    <xf numFmtId="0" fontId="11" fillId="0" borderId="6" xfId="57" applyFont="1" applyFill="1" applyBorder="1" applyAlignment="1">
      <alignment horizontal="left" vertical="center"/>
    </xf>
    <xf numFmtId="177" fontId="11" fillId="0" borderId="4" xfId="57" applyNumberFormat="1" applyFont="1" applyFill="1" applyBorder="1" applyAlignment="1">
      <alignment horizontal="center" vertical="center"/>
    </xf>
    <xf numFmtId="177" fontId="11" fillId="0" borderId="5" xfId="57" applyNumberFormat="1" applyFont="1" applyFill="1" applyBorder="1" applyAlignment="1">
      <alignment horizontal="center" vertical="center"/>
    </xf>
    <xf numFmtId="0" fontId="11" fillId="0" borderId="4" xfId="57" applyFont="1" applyFill="1" applyBorder="1" applyAlignment="1">
      <alignment horizontal="left" vertical="center"/>
    </xf>
    <xf numFmtId="0" fontId="1" fillId="0" borderId="4" xfId="41" applyFont="1" applyFill="1" applyBorder="1" applyAlignment="1">
      <alignment horizontal="center" vertical="center" wrapText="1"/>
    </xf>
    <xf numFmtId="0" fontId="11" fillId="0" borderId="5" xfId="41" applyFont="1" applyFill="1" applyBorder="1" applyAlignment="1">
      <alignment horizontal="center" vertical="center" wrapText="1"/>
    </xf>
    <xf numFmtId="0" fontId="11" fillId="0" borderId="4" xfId="41" applyFont="1" applyFill="1" applyBorder="1" applyAlignment="1">
      <alignment horizontal="center" vertical="center"/>
    </xf>
    <xf numFmtId="177" fontId="11" fillId="0" borderId="1" xfId="41" applyNumberFormat="1" applyFont="1" applyFill="1" applyBorder="1" applyAlignment="1" applyProtection="1">
      <alignment horizontal="center" vertical="center"/>
      <protection locked="0"/>
    </xf>
    <xf numFmtId="0" fontId="11" fillId="0" borderId="6" xfId="41" applyFont="1" applyFill="1" applyBorder="1" applyAlignment="1">
      <alignment horizontal="center" vertical="center"/>
    </xf>
    <xf numFmtId="177" fontId="11" fillId="0" borderId="4" xfId="41" applyNumberFormat="1" applyFont="1" applyFill="1" applyBorder="1" applyAlignment="1">
      <alignment horizontal="center" vertical="center"/>
    </xf>
    <xf numFmtId="177" fontId="11" fillId="0" borderId="5" xfId="41" applyNumberFormat="1" applyFont="1" applyFill="1" applyBorder="1" applyAlignment="1">
      <alignment horizontal="center" vertical="center"/>
    </xf>
    <xf numFmtId="0" fontId="11" fillId="0" borderId="7" xfId="41" applyFont="1" applyFill="1" applyBorder="1" applyAlignment="1">
      <alignment horizontal="center" vertical="center"/>
    </xf>
    <xf numFmtId="0" fontId="11" fillId="0" borderId="8" xfId="41" applyFont="1" applyFill="1" applyBorder="1" applyAlignment="1">
      <alignment horizontal="center" vertical="center"/>
    </xf>
    <xf numFmtId="0" fontId="11" fillId="0" borderId="9" xfId="41" applyFont="1" applyFill="1" applyBorder="1" applyAlignment="1">
      <alignment horizontal="center" vertical="center"/>
    </xf>
    <xf numFmtId="177" fontId="11" fillId="0" borderId="1" xfId="41" applyNumberFormat="1" applyFont="1" applyFill="1" applyBorder="1">
      <alignment vertical="center"/>
    </xf>
    <xf numFmtId="0" fontId="11" fillId="0" borderId="10" xfId="41" applyFont="1" applyFill="1" applyBorder="1" applyAlignment="1">
      <alignment horizontal="center" vertical="center"/>
    </xf>
    <xf numFmtId="0" fontId="11" fillId="0" borderId="11" xfId="41" applyFont="1" applyFill="1" applyBorder="1" applyAlignment="1">
      <alignment horizontal="center" vertical="center"/>
    </xf>
    <xf numFmtId="0" fontId="11" fillId="0" borderId="0" xfId="41" applyFont="1" applyFill="1" applyAlignment="1">
      <alignment horizontal="center" vertical="center"/>
    </xf>
    <xf numFmtId="0" fontId="11" fillId="0" borderId="5" xfId="41" applyFont="1" applyFill="1" applyBorder="1">
      <alignment vertical="center"/>
    </xf>
    <xf numFmtId="0" fontId="1" fillId="0" borderId="1" xfId="57" applyFont="1" applyFill="1" applyBorder="1" applyAlignment="1">
      <alignment horizontal="left" vertical="center"/>
    </xf>
    <xf numFmtId="0" fontId="11" fillId="0" borderId="1" xfId="57" applyFont="1" applyFill="1" applyBorder="1" applyAlignment="1">
      <alignment horizontal="left" vertical="center"/>
    </xf>
    <xf numFmtId="177" fontId="11" fillId="0" borderId="1" xfId="41" applyNumberFormat="1" applyFont="1" applyFill="1" applyBorder="1" applyAlignment="1">
      <alignment horizontal="center" vertical="center"/>
    </xf>
    <xf numFmtId="0" fontId="3" fillId="0" borderId="10" xfId="0" applyFont="1" applyFill="1" applyBorder="1" applyAlignment="1">
      <alignment vertical="center"/>
    </xf>
    <xf numFmtId="0" fontId="3" fillId="0" borderId="11" xfId="0" applyFont="1" applyFill="1" applyBorder="1" applyAlignment="1">
      <alignment vertical="center"/>
    </xf>
    <xf numFmtId="0" fontId="1" fillId="0" borderId="1" xfId="0" applyFont="1" applyFill="1" applyBorder="1" applyAlignment="1" applyProtection="1">
      <alignment horizontal="center" vertical="center"/>
    </xf>
    <xf numFmtId="0" fontId="11" fillId="0" borderId="1" xfId="0" applyFont="1" applyFill="1" applyBorder="1" applyAlignment="1" applyProtection="1">
      <alignment horizontal="center" vertical="center"/>
    </xf>
    <xf numFmtId="177" fontId="11" fillId="0" borderId="4" xfId="0" applyNumberFormat="1" applyFont="1" applyFill="1" applyBorder="1" applyAlignment="1">
      <alignment horizontal="center" vertical="center"/>
    </xf>
    <xf numFmtId="177" fontId="11" fillId="0" borderId="6" xfId="0" applyNumberFormat="1" applyFont="1" applyFill="1" applyBorder="1" applyAlignment="1">
      <alignment horizontal="center" vertical="center"/>
    </xf>
    <xf numFmtId="0" fontId="1" fillId="0" borderId="11" xfId="41" applyFont="1" applyFill="1" applyBorder="1" applyAlignment="1">
      <alignment horizontal="left" vertical="center" wrapText="1"/>
    </xf>
    <xf numFmtId="0" fontId="11" fillId="0" borderId="11" xfId="41" applyFont="1" applyFill="1" applyBorder="1" applyAlignment="1">
      <alignment horizontal="left" vertical="center" wrapText="1"/>
    </xf>
    <xf numFmtId="0" fontId="8" fillId="0" borderId="0" xfId="0" applyFont="1" applyFill="1" applyBorder="1" applyAlignment="1" applyProtection="1">
      <alignment horizontal="right" vertical="center"/>
    </xf>
    <xf numFmtId="177" fontId="11" fillId="0" borderId="6" xfId="57" applyNumberFormat="1" applyFont="1" applyFill="1" applyBorder="1" applyAlignment="1">
      <alignment horizontal="center" vertical="center"/>
    </xf>
    <xf numFmtId="0" fontId="11" fillId="0" borderId="6" xfId="41" applyFont="1" applyFill="1" applyBorder="1" applyAlignment="1">
      <alignment horizontal="center" vertical="center" wrapText="1"/>
    </xf>
    <xf numFmtId="177" fontId="11" fillId="0" borderId="6" xfId="41" applyNumberFormat="1" applyFont="1" applyFill="1" applyBorder="1" applyAlignment="1">
      <alignment horizontal="center" vertical="center"/>
    </xf>
    <xf numFmtId="2" fontId="11" fillId="0" borderId="1" xfId="0" applyNumberFormat="1" applyFont="1" applyFill="1" applyBorder="1" applyAlignment="1">
      <alignment horizontal="center"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8" fillId="0" borderId="1" xfId="0" applyFont="1" applyFill="1" applyBorder="1" applyAlignment="1">
      <alignment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4" xfId="0" applyFont="1" applyFill="1" applyBorder="1" applyAlignment="1">
      <alignment vertical="center"/>
    </xf>
    <xf numFmtId="0" fontId="8" fillId="0" borderId="5" xfId="0" applyFont="1" applyFill="1" applyBorder="1" applyAlignment="1">
      <alignment vertical="center"/>
    </xf>
    <xf numFmtId="0" fontId="8" fillId="0" borderId="6" xfId="0" applyFont="1" applyFill="1" applyBorder="1" applyAlignment="1">
      <alignment vertical="center"/>
    </xf>
    <xf numFmtId="0" fontId="15" fillId="0" borderId="0" xfId="0" applyFont="1" applyFill="1" applyBorder="1" applyAlignment="1">
      <alignment horizontal="center" vertical="center"/>
    </xf>
    <xf numFmtId="0" fontId="16" fillId="0" borderId="0" xfId="0" applyFont="1" applyFill="1" applyBorder="1" applyAlignment="1">
      <alignment vertical="center" wrapText="1"/>
    </xf>
    <xf numFmtId="0" fontId="3" fillId="0" borderId="0" xfId="0" applyFont="1" applyFill="1" applyBorder="1" applyAlignment="1">
      <alignment vertical="center" wrapText="1"/>
    </xf>
    <xf numFmtId="0" fontId="17"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1" xfId="0" applyFont="1" applyFill="1" applyBorder="1" applyAlignment="1">
      <alignment vertical="center" wrapText="1"/>
    </xf>
    <xf numFmtId="0" fontId="19" fillId="0" borderId="1" xfId="0" applyFont="1" applyFill="1" applyBorder="1" applyAlignment="1">
      <alignment vertical="center" wrapText="1"/>
    </xf>
    <xf numFmtId="0" fontId="18" fillId="0" borderId="1" xfId="0" applyFont="1" applyFill="1" applyBorder="1" applyAlignment="1">
      <alignment horizontal="center" vertical="center" wrapText="1"/>
    </xf>
    <xf numFmtId="0" fontId="18" fillId="0" borderId="4" xfId="0" applyFont="1" applyFill="1" applyBorder="1" applyAlignment="1">
      <alignment horizontal="left" vertical="center" wrapText="1"/>
    </xf>
    <xf numFmtId="0" fontId="18" fillId="0" borderId="6" xfId="0" applyFont="1" applyFill="1" applyBorder="1" applyAlignment="1">
      <alignment horizontal="left" vertical="center" wrapText="1"/>
    </xf>
    <xf numFmtId="57" fontId="18" fillId="0" borderId="1" xfId="0" applyNumberFormat="1" applyFont="1" applyFill="1" applyBorder="1" applyAlignment="1">
      <alignment horizontal="left" vertical="center" wrapText="1"/>
    </xf>
    <xf numFmtId="57" fontId="18" fillId="0" borderId="1" xfId="0" applyNumberFormat="1" applyFont="1" applyFill="1" applyBorder="1" applyAlignment="1">
      <alignment vertical="center" wrapText="1"/>
    </xf>
    <xf numFmtId="0" fontId="19" fillId="0" borderId="4"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176" fontId="5" fillId="0" borderId="0" xfId="0" applyNumberFormat="1" applyFont="1" applyFill="1" applyBorder="1" applyAlignment="1" applyProtection="1" quotePrefix="1">
      <alignment horizontal="center" vertical="center"/>
    </xf>
    <xf numFmtId="176" fontId="5" fillId="0" borderId="0" xfId="0" applyNumberFormat="1" applyFont="1" applyFill="1" applyBorder="1" applyAlignment="1" applyProtection="1" quotePrefix="1">
      <alignment horizontal="center" vertical="center"/>
      <protection locked="0"/>
    </xf>
    <xf numFmtId="176" fontId="7" fillId="0" borderId="0" xfId="0" applyNumberFormat="1" applyFont="1" applyFill="1" applyAlignment="1" applyProtection="1" quotePrefix="1">
      <alignment horizontal="center" vertical="center"/>
    </xf>
  </cellXfs>
  <cellStyles count="6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2 5 2 3" xfId="9"/>
    <cellStyle name="60% - 强调文字颜色 3" xfId="10" builtinId="40"/>
    <cellStyle name="超链接" xfId="11" builtinId="8"/>
    <cellStyle name="百分比" xfId="12" builtinId="5"/>
    <cellStyle name="已访问的超链接" xfId="13" builtinId="9"/>
    <cellStyle name="注释" xfId="14" builtinId="10"/>
    <cellStyle name="常规 2 5 2 2" xfId="15"/>
    <cellStyle name="60% - 强调文字颜色 2" xfId="16" builtinId="36"/>
    <cellStyle name="标题 4" xfId="17" builtinId="19"/>
    <cellStyle name="警告文本" xfId="18" builtinId="11"/>
    <cellStyle name="标题" xfId="19" builtinId="15"/>
    <cellStyle name="常规 2 5" xfId="20"/>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常规 2 2 2" xfId="38"/>
    <cellStyle name="20% - 强调文字颜色 1" xfId="39" builtinId="30"/>
    <cellStyle name="40% - 强调文字颜色 1" xfId="40" builtinId="31"/>
    <cellStyle name="常规 2 2 3" xfId="41"/>
    <cellStyle name="20% - 强调文字颜色 2" xfId="42" builtinId="34"/>
    <cellStyle name="40% - 强调文字颜色 2" xfId="43" builtinId="35"/>
    <cellStyle name="强调文字颜色 3" xfId="44" builtinId="37"/>
    <cellStyle name="强调文字颜色 4" xfId="45" builtinId="41"/>
    <cellStyle name="20% - 强调文字颜色 4" xfId="46" builtinId="42"/>
    <cellStyle name="40% - 强调文字颜色 4" xfId="47" builtinId="43"/>
    <cellStyle name="强调文字颜色 5" xfId="48" builtinId="45"/>
    <cellStyle name="常规 2 2" xfId="49"/>
    <cellStyle name="40% - 强调文字颜色 5" xfId="50" builtinId="47"/>
    <cellStyle name="60% - 强调文字颜色 5" xfId="51" builtinId="48"/>
    <cellStyle name="强调文字颜色 6" xfId="52" builtinId="49"/>
    <cellStyle name="常规 2 3" xfId="53"/>
    <cellStyle name="40% - 强调文字颜色 6" xfId="54" builtinId="51"/>
    <cellStyle name="60% - 强调文字颜色 6" xfId="55" builtinId="52"/>
    <cellStyle name="常规 2" xfId="56"/>
    <cellStyle name="常规 2 2 3 2" xfId="57"/>
    <cellStyle name="常规 2 4" xfId="58"/>
    <cellStyle name="常规 2 5 2" xfId="59"/>
    <cellStyle name="常规 3" xfId="60"/>
    <cellStyle name="常规 4" xfId="61"/>
    <cellStyle name="千位分隔 3" xfId="62"/>
    <cellStyle name="常规 5" xfId="63"/>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zoomScale="70" zoomScaleNormal="70" workbookViewId="0">
      <selection activeCell="D15" sqref="D15:E15"/>
    </sheetView>
  </sheetViews>
  <sheetFormatPr defaultColWidth="10.625" defaultRowHeight="27" customHeight="1"/>
  <cols>
    <col min="1" max="1" width="20.5833333333333" style="57" customWidth="1"/>
    <col min="2" max="2" width="2.05" style="57" customWidth="1"/>
    <col min="3" max="3" width="25" style="57" customWidth="1"/>
    <col min="4" max="4" width="21.4666666666667" style="57" customWidth="1"/>
    <col min="5" max="6" width="10.625" style="57" customWidth="1"/>
    <col min="7" max="7" width="22.9416666666667" style="57" customWidth="1"/>
    <col min="8" max="8" width="10.625" style="57" customWidth="1"/>
    <col min="9" max="9" width="20.5333333333333" style="57" customWidth="1"/>
    <col min="10" max="16384" width="10.625" style="57"/>
  </cols>
  <sheetData>
    <row r="1" ht="15" customHeight="1" spans="1:9">
      <c r="A1" s="118" t="s">
        <v>0</v>
      </c>
      <c r="B1" s="119"/>
      <c r="C1" s="119"/>
      <c r="D1" s="119"/>
      <c r="E1" s="119"/>
      <c r="F1" s="119"/>
      <c r="G1" s="119"/>
      <c r="H1" s="119"/>
      <c r="I1" s="119"/>
    </row>
    <row r="2" ht="41.1" customHeight="1" spans="1:9">
      <c r="A2" s="120" t="s">
        <v>1</v>
      </c>
      <c r="B2" s="120"/>
      <c r="C2" s="120"/>
      <c r="D2" s="120"/>
      <c r="E2" s="120"/>
      <c r="F2" s="120"/>
      <c r="G2" s="120"/>
      <c r="H2" s="120"/>
      <c r="I2" s="120"/>
    </row>
    <row r="3" ht="24" customHeight="1" spans="1:9">
      <c r="A3" s="121" t="s">
        <v>2</v>
      </c>
      <c r="B3" s="122"/>
      <c r="C3" s="122"/>
      <c r="D3" s="121" t="s">
        <v>3</v>
      </c>
      <c r="E3" s="122"/>
      <c r="F3" s="122"/>
      <c r="G3" s="121" t="s">
        <v>4</v>
      </c>
      <c r="H3" s="122"/>
      <c r="I3" s="120"/>
    </row>
    <row r="4" ht="25.15" customHeight="1" spans="1:9">
      <c r="A4" s="123" t="s">
        <v>5</v>
      </c>
      <c r="B4" s="123"/>
      <c r="C4" s="124"/>
      <c r="D4" s="125"/>
      <c r="E4" s="125"/>
      <c r="F4" s="125"/>
      <c r="G4" s="125"/>
      <c r="H4" s="125"/>
      <c r="I4" s="134"/>
    </row>
    <row r="5" customHeight="1" spans="1:9">
      <c r="A5" s="123" t="s">
        <v>6</v>
      </c>
      <c r="B5" s="123"/>
      <c r="C5" s="126" t="str">
        <f>项目详细信息!D4</f>
        <v>市域（郊）铁路成都至眉山线工程（眉山段-眉山市东坡区区域）</v>
      </c>
      <c r="D5" s="123" t="s">
        <v>7</v>
      </c>
      <c r="E5" s="123"/>
      <c r="F5" s="126"/>
      <c r="G5" s="123" t="s">
        <v>8</v>
      </c>
      <c r="H5" s="123"/>
      <c r="I5" s="135">
        <v>2022</v>
      </c>
    </row>
    <row r="6" customHeight="1" spans="1:9">
      <c r="A6" s="123" t="s">
        <v>9</v>
      </c>
      <c r="B6" s="123"/>
      <c r="C6" s="127" t="s">
        <v>10</v>
      </c>
      <c r="D6" s="123" t="s">
        <v>11</v>
      </c>
      <c r="E6" s="123"/>
      <c r="F6" s="128" t="s">
        <v>12</v>
      </c>
      <c r="G6" s="123" t="s">
        <v>13</v>
      </c>
      <c r="H6" s="123"/>
      <c r="I6" s="136"/>
    </row>
    <row r="7" customHeight="1" spans="1:9">
      <c r="A7" s="123" t="s">
        <v>14</v>
      </c>
      <c r="B7" s="123"/>
      <c r="C7" s="126" t="s">
        <v>15</v>
      </c>
      <c r="D7" s="123" t="s">
        <v>16</v>
      </c>
      <c r="E7" s="123"/>
      <c r="F7" s="126"/>
      <c r="G7" s="123" t="s">
        <v>17</v>
      </c>
      <c r="H7" s="123"/>
      <c r="I7" s="136" t="s">
        <v>18</v>
      </c>
    </row>
    <row r="8" customHeight="1" spans="1:9">
      <c r="A8" s="123" t="s">
        <v>19</v>
      </c>
      <c r="B8" s="123"/>
      <c r="C8" s="126" t="str">
        <f>C6</f>
        <v>眉山市东坡区交通运输局</v>
      </c>
      <c r="D8" s="123" t="s">
        <v>20</v>
      </c>
      <c r="E8" s="123"/>
      <c r="F8" s="124"/>
      <c r="G8" s="125"/>
      <c r="H8" s="125"/>
      <c r="I8" s="134"/>
    </row>
    <row r="9" customHeight="1" spans="1:9">
      <c r="A9" s="123" t="s">
        <v>21</v>
      </c>
      <c r="B9" s="123"/>
      <c r="C9" s="126" t="s">
        <v>22</v>
      </c>
      <c r="D9" s="123" t="s">
        <v>23</v>
      </c>
      <c r="E9" s="123"/>
      <c r="F9" s="126"/>
      <c r="G9" s="123" t="s">
        <v>24</v>
      </c>
      <c r="H9" s="123"/>
      <c r="I9" s="136"/>
    </row>
    <row r="10" customHeight="1" spans="1:9">
      <c r="A10" s="129" t="s">
        <v>25</v>
      </c>
      <c r="B10" s="130"/>
      <c r="C10" s="124"/>
      <c r="D10" s="125"/>
      <c r="E10" s="125"/>
      <c r="F10" s="125"/>
      <c r="G10" s="125"/>
      <c r="H10" s="125"/>
      <c r="I10" s="134"/>
    </row>
    <row r="11" ht="31" customHeight="1" spans="1:9">
      <c r="A11" s="123" t="s">
        <v>26</v>
      </c>
      <c r="B11" s="123"/>
      <c r="C11" s="126"/>
      <c r="D11" s="123" t="s">
        <v>27</v>
      </c>
      <c r="E11" s="123"/>
      <c r="F11" s="126"/>
      <c r="G11" s="123" t="s">
        <v>28</v>
      </c>
      <c r="H11" s="123"/>
      <c r="I11" s="136"/>
    </row>
    <row r="12" customHeight="1" spans="1:9">
      <c r="A12" s="123" t="s">
        <v>29</v>
      </c>
      <c r="B12" s="123"/>
      <c r="C12" s="126" t="s">
        <v>30</v>
      </c>
      <c r="D12" s="123" t="s">
        <v>31</v>
      </c>
      <c r="E12" s="123"/>
      <c r="F12" s="128" t="s">
        <v>32</v>
      </c>
      <c r="G12" s="123" t="s">
        <v>33</v>
      </c>
      <c r="H12" s="123"/>
      <c r="I12" s="137" t="s">
        <v>34</v>
      </c>
    </row>
    <row r="13" customHeight="1" spans="1:9">
      <c r="A13" s="123" t="s">
        <v>35</v>
      </c>
      <c r="B13" s="123"/>
      <c r="C13" s="131">
        <v>44805</v>
      </c>
      <c r="D13" s="123" t="s">
        <v>36</v>
      </c>
      <c r="E13" s="123"/>
      <c r="F13" s="132">
        <v>46357</v>
      </c>
      <c r="G13" s="123"/>
      <c r="H13" s="123"/>
      <c r="I13" s="136"/>
    </row>
    <row r="14" customHeight="1" spans="1:9">
      <c r="A14" s="123" t="s">
        <v>37</v>
      </c>
      <c r="B14" s="123"/>
      <c r="C14" s="126"/>
      <c r="D14" s="123"/>
      <c r="E14" s="123"/>
      <c r="F14" s="126"/>
      <c r="G14" s="129"/>
      <c r="H14" s="130"/>
      <c r="I14" s="136"/>
    </row>
    <row r="15" customHeight="1" spans="1:9">
      <c r="A15" s="123" t="s">
        <v>38</v>
      </c>
      <c r="B15" s="123"/>
      <c r="C15" s="126"/>
      <c r="D15" s="123" t="s">
        <v>39</v>
      </c>
      <c r="E15" s="123"/>
      <c r="F15" s="126"/>
      <c r="G15" s="123"/>
      <c r="H15" s="123"/>
      <c r="I15" s="136"/>
    </row>
    <row r="16" customHeight="1" spans="1:9">
      <c r="A16" s="123" t="s">
        <v>40</v>
      </c>
      <c r="B16" s="123"/>
      <c r="C16" s="126"/>
      <c r="D16" s="123" t="s">
        <v>41</v>
      </c>
      <c r="E16" s="123"/>
      <c r="F16" s="126"/>
      <c r="G16" s="123" t="s">
        <v>42</v>
      </c>
      <c r="H16" s="123"/>
      <c r="I16" s="136"/>
    </row>
    <row r="17" customHeight="1" spans="1:9">
      <c r="A17" s="123" t="s">
        <v>43</v>
      </c>
      <c r="B17" s="123"/>
      <c r="C17" s="126"/>
      <c r="D17" s="123" t="s">
        <v>44</v>
      </c>
      <c r="E17" s="123"/>
      <c r="F17" s="126"/>
      <c r="G17" s="123" t="s">
        <v>45</v>
      </c>
      <c r="H17" s="123"/>
      <c r="I17" s="136"/>
    </row>
    <row r="18" ht="41.1" customHeight="1" spans="1:9">
      <c r="A18" s="123" t="s">
        <v>46</v>
      </c>
      <c r="B18" s="123"/>
      <c r="C18" s="124"/>
      <c r="D18" s="125"/>
      <c r="E18" s="125"/>
      <c r="F18" s="125"/>
      <c r="G18" s="125"/>
      <c r="H18" s="125"/>
      <c r="I18" s="134"/>
    </row>
    <row r="19" ht="41.1" customHeight="1" spans="1:9">
      <c r="A19" s="129" t="s">
        <v>47</v>
      </c>
      <c r="B19" s="130"/>
      <c r="C19" s="133" t="s">
        <v>48</v>
      </c>
      <c r="D19" s="125"/>
      <c r="E19" s="125"/>
      <c r="F19" s="125"/>
      <c r="G19" s="125"/>
      <c r="H19" s="125"/>
      <c r="I19" s="134"/>
    </row>
    <row r="20" ht="36" customHeight="1" spans="1:9">
      <c r="A20" s="123" t="s">
        <v>49</v>
      </c>
      <c r="B20" s="123"/>
      <c r="C20" s="133" t="s">
        <v>50</v>
      </c>
      <c r="D20" s="125"/>
      <c r="E20" s="125"/>
      <c r="F20" s="125"/>
      <c r="G20" s="125"/>
      <c r="H20" s="125"/>
      <c r="I20" s="134"/>
    </row>
  </sheetData>
  <mergeCells count="47">
    <mergeCell ref="A2:I2"/>
    <mergeCell ref="A4:B4"/>
    <mergeCell ref="C4:I4"/>
    <mergeCell ref="A5:B5"/>
    <mergeCell ref="D5:E5"/>
    <mergeCell ref="G5:H5"/>
    <mergeCell ref="A6:B6"/>
    <mergeCell ref="D6:E6"/>
    <mergeCell ref="G6:H6"/>
    <mergeCell ref="A7:B7"/>
    <mergeCell ref="D7:E7"/>
    <mergeCell ref="G7:H7"/>
    <mergeCell ref="A8:B8"/>
    <mergeCell ref="D8:E8"/>
    <mergeCell ref="F8:I8"/>
    <mergeCell ref="A9:B9"/>
    <mergeCell ref="D9:E9"/>
    <mergeCell ref="G9:H9"/>
    <mergeCell ref="A10:B10"/>
    <mergeCell ref="C10:I10"/>
    <mergeCell ref="A11:B11"/>
    <mergeCell ref="D11:E11"/>
    <mergeCell ref="G11:H11"/>
    <mergeCell ref="A12:B12"/>
    <mergeCell ref="D12:E12"/>
    <mergeCell ref="G12:H12"/>
    <mergeCell ref="A13:B13"/>
    <mergeCell ref="D13:E13"/>
    <mergeCell ref="G13:H13"/>
    <mergeCell ref="A14:B14"/>
    <mergeCell ref="D14:E14"/>
    <mergeCell ref="G14:H14"/>
    <mergeCell ref="A15:B15"/>
    <mergeCell ref="D15:E15"/>
    <mergeCell ref="G15:H15"/>
    <mergeCell ref="A16:B16"/>
    <mergeCell ref="D16:E16"/>
    <mergeCell ref="G16:H16"/>
    <mergeCell ref="A17:B17"/>
    <mergeCell ref="D17:E17"/>
    <mergeCell ref="G17:H17"/>
    <mergeCell ref="A18:B18"/>
    <mergeCell ref="C18:I18"/>
    <mergeCell ref="A19:B19"/>
    <mergeCell ref="C19:I19"/>
    <mergeCell ref="A20:B20"/>
    <mergeCell ref="C20:I2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9"/>
  <sheetViews>
    <sheetView workbookViewId="0">
      <selection activeCell="I9" sqref="I9"/>
    </sheetView>
  </sheetViews>
  <sheetFormatPr defaultColWidth="10.625" defaultRowHeight="27" customHeight="1"/>
  <cols>
    <col min="1" max="1" width="50.875" style="57" customWidth="1"/>
    <col min="2" max="2" width="13.875" style="57" customWidth="1"/>
    <col min="3" max="3" width="26.75" style="57"/>
    <col min="4" max="4" width="10.625" style="57" customWidth="1"/>
    <col min="5" max="5" width="18.125" style="57"/>
    <col min="6" max="16384" width="10.625" style="57"/>
  </cols>
  <sheetData>
    <row r="1" ht="17.1" customHeight="1" spans="1:1">
      <c r="A1" s="106" t="s">
        <v>51</v>
      </c>
    </row>
    <row r="2" ht="39.95" customHeight="1" spans="1:6">
      <c r="A2" s="107" t="s">
        <v>52</v>
      </c>
      <c r="B2" s="107"/>
      <c r="C2" s="107"/>
      <c r="D2" s="107"/>
      <c r="E2" s="107"/>
      <c r="F2" s="107"/>
    </row>
    <row r="3" ht="24" customHeight="1" spans="1:9">
      <c r="A3" s="108" t="s">
        <v>53</v>
      </c>
      <c r="B3" s="108" t="s">
        <v>54</v>
      </c>
      <c r="C3" s="109"/>
      <c r="D3" s="109"/>
      <c r="E3" s="108" t="s">
        <v>55</v>
      </c>
      <c r="H3" s="109"/>
      <c r="I3" s="117"/>
    </row>
    <row r="4" ht="25.15" customHeight="1" spans="1:6">
      <c r="A4" s="110" t="s">
        <v>56</v>
      </c>
      <c r="B4" s="110"/>
      <c r="C4" s="110" t="s">
        <v>57</v>
      </c>
      <c r="D4" s="110"/>
      <c r="E4" s="110" t="s">
        <v>58</v>
      </c>
      <c r="F4" s="110"/>
    </row>
    <row r="5" customHeight="1" spans="1:6">
      <c r="A5" s="110" t="s">
        <v>59</v>
      </c>
      <c r="B5" s="110"/>
      <c r="C5" s="110" t="s">
        <v>60</v>
      </c>
      <c r="D5" s="110"/>
      <c r="E5" s="110" t="s">
        <v>61</v>
      </c>
      <c r="F5" s="110"/>
    </row>
    <row r="6" customHeight="1" spans="1:6">
      <c r="A6" s="110" t="s">
        <v>62</v>
      </c>
      <c r="B6" s="110"/>
      <c r="C6" s="110" t="s">
        <v>63</v>
      </c>
      <c r="D6" s="111"/>
      <c r="E6" s="112"/>
      <c r="F6" s="113"/>
    </row>
    <row r="7" customHeight="1" spans="1:6">
      <c r="A7" s="110" t="s">
        <v>64</v>
      </c>
      <c r="B7" s="110"/>
      <c r="C7" s="110" t="s">
        <v>63</v>
      </c>
      <c r="D7" s="111"/>
      <c r="E7" s="112"/>
      <c r="F7" s="113"/>
    </row>
    <row r="8" customHeight="1" spans="1:6">
      <c r="A8" s="110" t="s">
        <v>65</v>
      </c>
      <c r="B8" s="110"/>
      <c r="C8" s="110" t="s">
        <v>63</v>
      </c>
      <c r="D8" s="111"/>
      <c r="E8" s="112"/>
      <c r="F8" s="113"/>
    </row>
    <row r="9" customHeight="1" spans="1:6">
      <c r="A9" s="110" t="s">
        <v>66</v>
      </c>
      <c r="B9" s="110"/>
      <c r="C9" s="110" t="s">
        <v>63</v>
      </c>
      <c r="D9" s="111"/>
      <c r="E9" s="112"/>
      <c r="F9" s="113"/>
    </row>
    <row r="10" customHeight="1" spans="1:6">
      <c r="A10" s="110" t="s">
        <v>67</v>
      </c>
      <c r="B10" s="110"/>
      <c r="C10" s="110" t="s">
        <v>63</v>
      </c>
      <c r="D10" s="111"/>
      <c r="E10" s="112"/>
      <c r="F10" s="113"/>
    </row>
    <row r="11" customHeight="1" spans="1:6">
      <c r="A11" s="110" t="s">
        <v>68</v>
      </c>
      <c r="B11" s="110"/>
      <c r="C11" s="110" t="s">
        <v>69</v>
      </c>
      <c r="D11" s="110"/>
      <c r="E11" s="110"/>
      <c r="F11" s="110"/>
    </row>
    <row r="12" customHeight="1" spans="1:6">
      <c r="A12" s="110" t="s">
        <v>70</v>
      </c>
      <c r="B12" s="110"/>
      <c r="C12" s="110" t="s">
        <v>71</v>
      </c>
      <c r="D12" s="110"/>
      <c r="E12" s="110" t="s">
        <v>72</v>
      </c>
      <c r="F12" s="110"/>
    </row>
    <row r="13" customHeight="1" spans="1:6">
      <c r="A13" s="110" t="s">
        <v>73</v>
      </c>
      <c r="B13" s="111"/>
      <c r="C13" s="112"/>
      <c r="D13" s="112"/>
      <c r="E13" s="112"/>
      <c r="F13" s="113"/>
    </row>
    <row r="14" customHeight="1" spans="1:6">
      <c r="A14" s="110" t="s">
        <v>74</v>
      </c>
      <c r="B14" s="110"/>
      <c r="C14" s="110" t="s">
        <v>75</v>
      </c>
      <c r="D14" s="110"/>
      <c r="E14" s="110" t="s">
        <v>76</v>
      </c>
      <c r="F14" s="110"/>
    </row>
    <row r="15" customHeight="1" spans="1:6">
      <c r="A15" s="110" t="s">
        <v>77</v>
      </c>
      <c r="B15" s="114"/>
      <c r="C15" s="115"/>
      <c r="D15" s="115"/>
      <c r="E15" s="110" t="s">
        <v>78</v>
      </c>
      <c r="F15" s="116"/>
    </row>
    <row r="16" customHeight="1" spans="1:6">
      <c r="A16" s="110" t="s">
        <v>79</v>
      </c>
      <c r="B16" s="111"/>
      <c r="C16" s="112"/>
      <c r="D16" s="112"/>
      <c r="E16" s="112"/>
      <c r="F16" s="113"/>
    </row>
    <row r="18" ht="24" customHeight="1"/>
    <row r="19" ht="24" customHeight="1"/>
  </sheetData>
  <mergeCells count="8">
    <mergeCell ref="A2:F2"/>
    <mergeCell ref="D6:F6"/>
    <mergeCell ref="D7:F7"/>
    <mergeCell ref="D8:F8"/>
    <mergeCell ref="D9:F9"/>
    <mergeCell ref="D10:F10"/>
    <mergeCell ref="B13:F13"/>
    <mergeCell ref="B16:F1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zoomScale="70" zoomScaleNormal="70" workbookViewId="0">
      <selection activeCell="D7" sqref="D7:M7"/>
    </sheetView>
  </sheetViews>
  <sheetFormatPr defaultColWidth="9" defaultRowHeight="14.25"/>
  <cols>
    <col min="1" max="1" width="15.5" style="57" customWidth="1"/>
    <col min="2" max="2" width="9.25" style="57"/>
    <col min="3" max="3" width="20.25" style="57" customWidth="1"/>
    <col min="4" max="4" width="18.25" style="57" customWidth="1"/>
    <col min="5" max="6" width="9.625" style="57"/>
    <col min="7" max="10" width="9.25" style="57"/>
    <col min="11" max="12" width="9" style="57"/>
    <col min="13" max="13" width="14.2583333333333" style="57" customWidth="1"/>
    <col min="14" max="16384" width="9" style="57"/>
  </cols>
  <sheetData>
    <row r="1" ht="15.75" spans="1:13">
      <c r="A1" s="23"/>
      <c r="B1" s="23"/>
      <c r="C1" s="23"/>
      <c r="D1" s="23"/>
      <c r="E1" s="23"/>
      <c r="F1" s="23"/>
      <c r="G1" s="23"/>
      <c r="H1" s="23"/>
      <c r="I1" s="23"/>
      <c r="J1" s="23"/>
      <c r="K1" s="23"/>
      <c r="L1" s="23"/>
      <c r="M1" s="101" t="s">
        <v>80</v>
      </c>
    </row>
    <row r="2" spans="1:13">
      <c r="A2" s="58" t="s">
        <v>81</v>
      </c>
      <c r="B2" s="59"/>
      <c r="C2" s="59"/>
      <c r="D2" s="59"/>
      <c r="E2" s="59"/>
      <c r="F2" s="59"/>
      <c r="G2" s="59"/>
      <c r="H2" s="59"/>
      <c r="I2" s="59"/>
      <c r="J2" s="59"/>
      <c r="K2" s="59"/>
      <c r="L2" s="59"/>
      <c r="M2" s="59"/>
    </row>
    <row r="3" spans="1:13">
      <c r="A3" s="58" t="s">
        <v>82</v>
      </c>
      <c r="B3" s="59"/>
      <c r="C3" s="59"/>
      <c r="D3" s="59"/>
      <c r="E3" s="59"/>
      <c r="F3" s="59"/>
      <c r="G3" s="59"/>
      <c r="H3" s="59"/>
      <c r="I3" s="59"/>
      <c r="J3" s="59"/>
      <c r="K3" s="59"/>
      <c r="L3" s="59"/>
      <c r="M3" s="59"/>
    </row>
    <row r="4" ht="24.95" customHeight="1" spans="1:13">
      <c r="A4" s="60" t="s">
        <v>83</v>
      </c>
      <c r="B4" s="61"/>
      <c r="C4" s="61"/>
      <c r="D4" s="62" t="s">
        <v>84</v>
      </c>
      <c r="E4" s="63"/>
      <c r="F4" s="63"/>
      <c r="G4" s="63"/>
      <c r="H4" s="63"/>
      <c r="I4" s="63"/>
      <c r="J4" s="63"/>
      <c r="K4" s="63"/>
      <c r="L4" s="63"/>
      <c r="M4" s="63"/>
    </row>
    <row r="5" ht="24.95" customHeight="1" spans="1:13">
      <c r="A5" s="64" t="s">
        <v>85</v>
      </c>
      <c r="B5" s="65"/>
      <c r="C5" s="66"/>
      <c r="D5" s="67" t="s">
        <v>86</v>
      </c>
      <c r="E5" s="68"/>
      <c r="F5" s="68"/>
      <c r="G5" s="68"/>
      <c r="H5" s="68"/>
      <c r="I5" s="68"/>
      <c r="J5" s="68"/>
      <c r="K5" s="68"/>
      <c r="L5" s="68"/>
      <c r="M5" s="79"/>
    </row>
    <row r="6" ht="19.5" customHeight="1" spans="1:13">
      <c r="A6" s="69" t="s">
        <v>87</v>
      </c>
      <c r="B6" s="70"/>
      <c r="C6" s="71"/>
      <c r="D6" s="72">
        <v>4.95</v>
      </c>
      <c r="E6" s="73"/>
      <c r="F6" s="73"/>
      <c r="G6" s="73"/>
      <c r="H6" s="73"/>
      <c r="I6" s="73"/>
      <c r="J6" s="73"/>
      <c r="K6" s="73"/>
      <c r="L6" s="73"/>
      <c r="M6" s="102"/>
    </row>
    <row r="7" ht="19.5" customHeight="1" spans="1:13">
      <c r="A7" s="74" t="s">
        <v>88</v>
      </c>
      <c r="B7" s="70"/>
      <c r="C7" s="71"/>
      <c r="D7" s="72"/>
      <c r="E7" s="73"/>
      <c r="F7" s="73"/>
      <c r="G7" s="73"/>
      <c r="H7" s="73"/>
      <c r="I7" s="73"/>
      <c r="J7" s="73"/>
      <c r="K7" s="73"/>
      <c r="L7" s="73"/>
      <c r="M7" s="102"/>
    </row>
    <row r="8" ht="92.1" customHeight="1" spans="1:13">
      <c r="A8" s="64" t="s">
        <v>89</v>
      </c>
      <c r="B8" s="65"/>
      <c r="C8" s="66"/>
      <c r="D8" s="75" t="s">
        <v>90</v>
      </c>
      <c r="E8" s="76"/>
      <c r="F8" s="76"/>
      <c r="G8" s="76"/>
      <c r="H8" s="76"/>
      <c r="I8" s="76"/>
      <c r="J8" s="76"/>
      <c r="K8" s="76"/>
      <c r="L8" s="76"/>
      <c r="M8" s="103"/>
    </row>
    <row r="9" ht="20.1" customHeight="1" spans="1:13">
      <c r="A9" s="64" t="s">
        <v>91</v>
      </c>
      <c r="B9" s="65"/>
      <c r="C9" s="66"/>
      <c r="D9" s="77">
        <f>'4.收支预算表'!B28</f>
        <v>5</v>
      </c>
      <c r="E9" s="68"/>
      <c r="F9" s="68"/>
      <c r="G9" s="68"/>
      <c r="H9" s="68"/>
      <c r="I9" s="68"/>
      <c r="J9" s="68"/>
      <c r="K9" s="68"/>
      <c r="L9" s="68"/>
      <c r="M9" s="79"/>
    </row>
    <row r="10" ht="20.1" customHeight="1" spans="1:13">
      <c r="A10" s="64" t="s">
        <v>92</v>
      </c>
      <c r="B10" s="65"/>
      <c r="C10" s="66"/>
      <c r="D10" s="77">
        <f>'4.收支预算表'!B29</f>
        <v>29</v>
      </c>
      <c r="E10" s="68"/>
      <c r="F10" s="68"/>
      <c r="G10" s="68"/>
      <c r="H10" s="68"/>
      <c r="I10" s="68"/>
      <c r="J10" s="68"/>
      <c r="K10" s="68"/>
      <c r="L10" s="68"/>
      <c r="M10" s="79"/>
    </row>
    <row r="11" ht="20.1" customHeight="1" spans="1:13">
      <c r="A11" s="60" t="s">
        <v>93</v>
      </c>
      <c r="B11" s="61"/>
      <c r="C11" s="61"/>
      <c r="D11" s="78">
        <f>D12+D13+D14</f>
        <v>46.91172</v>
      </c>
      <c r="E11" s="78"/>
      <c r="F11" s="78"/>
      <c r="G11" s="78"/>
      <c r="H11" s="78"/>
      <c r="I11" s="78"/>
      <c r="J11" s="78"/>
      <c r="K11" s="78"/>
      <c r="L11" s="78"/>
      <c r="M11" s="78"/>
    </row>
    <row r="12" ht="21" customHeight="1" spans="1:13">
      <c r="A12" s="67" t="s">
        <v>94</v>
      </c>
      <c r="B12" s="68"/>
      <c r="C12" s="79"/>
      <c r="D12" s="80">
        <f>'4.收支预算表'!C5/10000+'4.收支预算表'!C9/10000</f>
        <v>18.764662</v>
      </c>
      <c r="E12" s="81"/>
      <c r="F12" s="81"/>
      <c r="G12" s="81"/>
      <c r="H12" s="81"/>
      <c r="I12" s="81"/>
      <c r="J12" s="81"/>
      <c r="K12" s="81"/>
      <c r="L12" s="81"/>
      <c r="M12" s="104"/>
    </row>
    <row r="13" ht="21" customHeight="1" spans="1:13">
      <c r="A13" s="62" t="s">
        <v>95</v>
      </c>
      <c r="B13" s="63"/>
      <c r="C13" s="63"/>
      <c r="D13" s="80">
        <f>SUM(D17:L17)</f>
        <v>13.6196</v>
      </c>
      <c r="E13" s="81"/>
      <c r="F13" s="81"/>
      <c r="G13" s="81"/>
      <c r="H13" s="81"/>
      <c r="I13" s="81"/>
      <c r="J13" s="81"/>
      <c r="K13" s="81"/>
      <c r="L13" s="81"/>
      <c r="M13" s="104"/>
    </row>
    <row r="14" ht="21" customHeight="1" spans="1:13">
      <c r="A14" s="62" t="s">
        <v>96</v>
      </c>
      <c r="B14" s="63"/>
      <c r="C14" s="63"/>
      <c r="D14" s="80">
        <f>SUM(D18:L18)</f>
        <v>14.527458</v>
      </c>
      <c r="E14" s="81"/>
      <c r="F14" s="81"/>
      <c r="G14" s="81"/>
      <c r="H14" s="81"/>
      <c r="I14" s="81"/>
      <c r="J14" s="81"/>
      <c r="K14" s="81"/>
      <c r="L14" s="81"/>
      <c r="M14" s="104"/>
    </row>
    <row r="15" ht="21" customHeight="1" spans="1:13">
      <c r="A15" s="67" t="s">
        <v>97</v>
      </c>
      <c r="B15" s="68"/>
      <c r="C15" s="68"/>
      <c r="D15" s="68"/>
      <c r="E15" s="68"/>
      <c r="F15" s="68"/>
      <c r="G15" s="68"/>
      <c r="H15" s="68"/>
      <c r="I15" s="68"/>
      <c r="J15" s="68"/>
      <c r="K15" s="68"/>
      <c r="L15" s="68"/>
      <c r="M15" s="79"/>
    </row>
    <row r="16" ht="21" customHeight="1" spans="1:13">
      <c r="A16" s="82" t="s">
        <v>98</v>
      </c>
      <c r="B16" s="83"/>
      <c r="C16" s="84"/>
      <c r="D16" s="63" t="s">
        <v>99</v>
      </c>
      <c r="E16" s="63" t="s">
        <v>100</v>
      </c>
      <c r="F16" s="63" t="s">
        <v>101</v>
      </c>
      <c r="G16" s="63" t="s">
        <v>102</v>
      </c>
      <c r="H16" s="63" t="s">
        <v>103</v>
      </c>
      <c r="I16" s="63" t="s">
        <v>104</v>
      </c>
      <c r="J16" s="63" t="s">
        <v>105</v>
      </c>
      <c r="K16" s="63" t="s">
        <v>106</v>
      </c>
      <c r="L16" s="63" t="s">
        <v>107</v>
      </c>
      <c r="M16" s="63"/>
    </row>
    <row r="17" ht="24" customHeight="1" spans="1:13">
      <c r="A17" s="67" t="s">
        <v>95</v>
      </c>
      <c r="B17" s="68"/>
      <c r="C17" s="79"/>
      <c r="D17" s="85"/>
      <c r="E17" s="85">
        <f>'4.收支预算表'!E6/10000</f>
        <v>0</v>
      </c>
      <c r="F17" s="85">
        <f>'4.收支预算表'!G6/10000</f>
        <v>0</v>
      </c>
      <c r="G17" s="85">
        <f>'4.收支预算表'!I6/10000</f>
        <v>0</v>
      </c>
      <c r="H17" s="85">
        <f>'4.收支预算表'!K6/10000</f>
        <v>6.5512</v>
      </c>
      <c r="I17" s="85">
        <f>'4.收支预算表'!M6/10000</f>
        <v>7.0684</v>
      </c>
      <c r="J17" s="85"/>
      <c r="K17" s="85"/>
      <c r="L17" s="80"/>
      <c r="M17" s="104"/>
    </row>
    <row r="18" ht="24" customHeight="1" spans="1:13">
      <c r="A18" s="67" t="s">
        <v>96</v>
      </c>
      <c r="B18" s="68"/>
      <c r="C18" s="79"/>
      <c r="D18" s="85"/>
      <c r="E18" s="85">
        <f>'4.收支预算表'!E8/10000</f>
        <v>0</v>
      </c>
      <c r="F18" s="85">
        <f>'4.收支预算表'!G8/10000</f>
        <v>0</v>
      </c>
      <c r="G18" s="85">
        <f>'4.收支预算表'!I8/10000</f>
        <v>0</v>
      </c>
      <c r="H18" s="85">
        <f>'4.收支预算表'!K8/10000</f>
        <v>7.9304</v>
      </c>
      <c r="I18" s="85">
        <f>'4.收支预算表'!M8/10000</f>
        <v>6.597058</v>
      </c>
      <c r="J18" s="85"/>
      <c r="K18" s="85"/>
      <c r="L18" s="80"/>
      <c r="M18" s="104"/>
    </row>
    <row r="19" ht="24" customHeight="1" spans="1:13">
      <c r="A19" s="86" t="s">
        <v>98</v>
      </c>
      <c r="B19" s="87" t="s">
        <v>98</v>
      </c>
      <c r="C19" s="88" t="s">
        <v>98</v>
      </c>
      <c r="D19" s="89" t="s">
        <v>98</v>
      </c>
      <c r="E19" s="68" t="s">
        <v>98</v>
      </c>
      <c r="F19" s="68" t="s">
        <v>98</v>
      </c>
      <c r="G19" s="68" t="s">
        <v>98</v>
      </c>
      <c r="H19" s="68" t="s">
        <v>98</v>
      </c>
      <c r="I19" s="68" t="s">
        <v>98</v>
      </c>
      <c r="J19" s="68" t="s">
        <v>98</v>
      </c>
      <c r="K19" s="68" t="s">
        <v>98</v>
      </c>
      <c r="L19" s="68" t="s">
        <v>98</v>
      </c>
      <c r="M19" s="79" t="s">
        <v>98</v>
      </c>
    </row>
    <row r="20" ht="24" customHeight="1" spans="1:13">
      <c r="A20" s="90" t="s">
        <v>108</v>
      </c>
      <c r="B20" s="91"/>
      <c r="C20" s="91"/>
      <c r="D20" s="80">
        <f>SUM(B22:B27)+SUM(D22:D27)+SUM(F22:F27)+SUM(H22:H27)+SUM(J22:J27)+SUM(L22:M27)</f>
        <v>54.831982</v>
      </c>
      <c r="E20" s="81"/>
      <c r="F20" s="81"/>
      <c r="G20" s="81"/>
      <c r="H20" s="81"/>
      <c r="I20" s="81"/>
      <c r="J20" s="81"/>
      <c r="K20" s="81"/>
      <c r="L20" s="81"/>
      <c r="M20" s="104"/>
    </row>
    <row r="21" ht="24" customHeight="1" spans="1:13">
      <c r="A21" s="67" t="s">
        <v>109</v>
      </c>
      <c r="B21" s="68"/>
      <c r="C21" s="68"/>
      <c r="D21" s="68"/>
      <c r="E21" s="68"/>
      <c r="F21" s="68"/>
      <c r="G21" s="68"/>
      <c r="H21" s="68"/>
      <c r="I21" s="68"/>
      <c r="J21" s="68"/>
      <c r="K21" s="68"/>
      <c r="L21" s="68"/>
      <c r="M21" s="79"/>
    </row>
    <row r="22" ht="24" customHeight="1" spans="1:13">
      <c r="A22" s="63" t="s">
        <v>100</v>
      </c>
      <c r="B22" s="78">
        <f>('4.收支预算表'!E16-'4.收支预算表'!F21)/10000</f>
        <v>0</v>
      </c>
      <c r="C22" s="63" t="s">
        <v>101</v>
      </c>
      <c r="D22" s="92">
        <f>'4.收支预算表'!G16/10000-'4.收支预算表'!H21/10000</f>
        <v>0</v>
      </c>
      <c r="E22" s="63" t="s">
        <v>102</v>
      </c>
      <c r="F22" s="92">
        <f>'4.收支预算表'!I16/10000-'4.收支预算表'!J21/10000</f>
        <v>0</v>
      </c>
      <c r="G22" s="63" t="s">
        <v>103</v>
      </c>
      <c r="H22" s="92">
        <f>'4.收支预算表'!K16/10000-'4.收支预算表'!L21/10000</f>
        <v>0</v>
      </c>
      <c r="I22" s="63" t="s">
        <v>104</v>
      </c>
      <c r="J22" s="92">
        <f>'4.收支预算表'!M16/10000-'4.收支预算表'!N21/10000</f>
        <v>0</v>
      </c>
      <c r="K22" s="63" t="s">
        <v>105</v>
      </c>
      <c r="L22" s="80">
        <f>'4.收支预算表'!O16/10000-'4.收支预算表'!P21/10000</f>
        <v>2.73349</v>
      </c>
      <c r="M22" s="104"/>
    </row>
    <row r="23" ht="24" customHeight="1" spans="1:13">
      <c r="A23" s="63" t="s">
        <v>106</v>
      </c>
      <c r="B23" s="92">
        <f>('4.收支预算表'!Q16-'4.收支预算表'!R21)/10000</f>
        <v>2.727469</v>
      </c>
      <c r="C23" s="63" t="s">
        <v>110</v>
      </c>
      <c r="D23" s="92">
        <f>'4.收支预算表'!S16/10000-'4.收支预算表'!T21/10000</f>
        <v>2.710413</v>
      </c>
      <c r="E23" s="63" t="s">
        <v>111</v>
      </c>
      <c r="F23" s="92">
        <f>'4.收支预算表'!U16/10000-'4.收支预算表'!V21/10000</f>
        <v>2.69818</v>
      </c>
      <c r="G23" s="63" t="s">
        <v>112</v>
      </c>
      <c r="H23" s="92">
        <f>'4.收支预算表'!W16/10000-'4.收支预算表'!X21/10000</f>
        <v>2.682074</v>
      </c>
      <c r="I23" s="63" t="s">
        <v>113</v>
      </c>
      <c r="J23" s="92">
        <f>'4.收支预算表'!Y16/10000-'4.收支预算表'!Z21/10000</f>
        <v>2.665983</v>
      </c>
      <c r="K23" s="63" t="s">
        <v>114</v>
      </c>
      <c r="L23" s="80">
        <f>'4.收支预算表'!AA16/10000-'4.收支预算表'!AB21/10000</f>
        <v>2.653933</v>
      </c>
      <c r="M23" s="104"/>
    </row>
    <row r="24" ht="24" customHeight="1" spans="1:13">
      <c r="A24" s="63" t="s">
        <v>115</v>
      </c>
      <c r="B24" s="92">
        <f>('4.收支预算表'!AC16-'4.收支预算表'!AD21)/10000</f>
        <v>1.849328</v>
      </c>
      <c r="C24" s="63" t="s">
        <v>116</v>
      </c>
      <c r="D24" s="92">
        <f>'4.收支预算表'!AE16/10000-'4.收支预算表'!AF21/10000</f>
        <v>1.832482</v>
      </c>
      <c r="E24" s="63" t="s">
        <v>117</v>
      </c>
      <c r="F24" s="92">
        <f>'4.收支预算表'!AG16/10000-'4.收支预算表'!AH21/10000</f>
        <v>1.821201</v>
      </c>
      <c r="G24" s="63" t="s">
        <v>118</v>
      </c>
      <c r="H24" s="92">
        <f>'4.收支预算表'!AI16/10000-'4.收支预算表'!AJ21/10000</f>
        <v>1.804358</v>
      </c>
      <c r="I24" s="63" t="s">
        <v>119</v>
      </c>
      <c r="J24" s="92">
        <f>'4.收支预算表'!AK16/10000-'4.收支预算表'!AL21/10000</f>
        <v>1.787515</v>
      </c>
      <c r="K24" s="63" t="s">
        <v>120</v>
      </c>
      <c r="L24" s="80">
        <f>'4.收支预算表'!AM16/10000-'4.收支预算表'!AN21/10000</f>
        <v>1.776523</v>
      </c>
      <c r="M24" s="104"/>
    </row>
    <row r="25" ht="24" customHeight="1" spans="1:13">
      <c r="A25" s="63" t="s">
        <v>121</v>
      </c>
      <c r="B25" s="92">
        <f>'4.收支预算表'!AO16/10000-'4.收支预算表'!AP21/10000</f>
        <v>1.759678</v>
      </c>
      <c r="C25" s="63" t="s">
        <v>122</v>
      </c>
      <c r="D25" s="92">
        <f>'4.收支预算表'!AQ16/10000-'4.收支预算表'!AR21/10000</f>
        <v>1.742832</v>
      </c>
      <c r="E25" s="63" t="s">
        <v>123</v>
      </c>
      <c r="F25" s="92">
        <f>'4.收支预算表'!AS16/10000-'4.收支预算表'!AT21/10000</f>
        <v>1.732124</v>
      </c>
      <c r="G25" s="63" t="s">
        <v>124</v>
      </c>
      <c r="H25" s="92">
        <f>'4.收支预算表'!AU16/10000-'4.收支预算表'!AV21/10000</f>
        <v>1.715278</v>
      </c>
      <c r="I25" s="63" t="s">
        <v>125</v>
      </c>
      <c r="J25" s="92">
        <f>'4.收支预算表'!AW16/10000-'4.收支预算表'!AX21/10000</f>
        <v>1.698444</v>
      </c>
      <c r="K25" s="63" t="s">
        <v>126</v>
      </c>
      <c r="L25" s="80">
        <f>'4.收支预算表'!AY16/10000-'4.收支预算表'!AZ21/10000</f>
        <v>1.68804</v>
      </c>
      <c r="M25" s="104"/>
    </row>
    <row r="26" ht="24" customHeight="1" spans="1:13">
      <c r="A26" s="63" t="s">
        <v>127</v>
      </c>
      <c r="B26" s="92">
        <f>'4.收支预算表'!BA16/10000-'4.收支预算表'!BB21/10000</f>
        <v>1.671199</v>
      </c>
      <c r="C26" s="63" t="s">
        <v>128</v>
      </c>
      <c r="D26" s="92">
        <f>'4.收支预算表'!BC16/10000-'4.收支预算表'!BD21/10000</f>
        <v>1.52882</v>
      </c>
      <c r="E26" s="63" t="s">
        <v>129</v>
      </c>
      <c r="F26" s="92">
        <f>'4.收支预算表'!BE16/10000-'4.收支预算表'!BF21/10000</f>
        <v>1.518738</v>
      </c>
      <c r="G26" s="63" t="s">
        <v>130</v>
      </c>
      <c r="H26" s="92">
        <f>'4.收支预算表'!BG16/10000-'4.收支预算表'!BH21/10000</f>
        <v>1.501903</v>
      </c>
      <c r="I26" s="63" t="s">
        <v>131</v>
      </c>
      <c r="J26" s="92">
        <f>'4.收支预算表'!BI16/10000-'4.收支预算表'!BJ21/10000</f>
        <v>1.486654</v>
      </c>
      <c r="K26" s="63" t="s">
        <v>132</v>
      </c>
      <c r="L26" s="80">
        <f>'4.收支预算表'!BK16/10000-'4.收支预算表'!BL21/10000</f>
        <v>1.478507</v>
      </c>
      <c r="M26" s="104"/>
    </row>
    <row r="27" ht="24" customHeight="1" spans="1:13">
      <c r="A27" s="63" t="s">
        <v>133</v>
      </c>
      <c r="B27" s="92">
        <f>'4.收支预算表'!BM16/10000-'4.收支预算表'!BN21/10000</f>
        <v>5.566816</v>
      </c>
      <c r="C27" s="63" t="s">
        <v>134</v>
      </c>
      <c r="D27" s="92"/>
      <c r="E27" s="63" t="s">
        <v>135</v>
      </c>
      <c r="F27" s="92"/>
      <c r="G27" s="63" t="s">
        <v>136</v>
      </c>
      <c r="H27" s="92"/>
      <c r="I27" s="63" t="s">
        <v>137</v>
      </c>
      <c r="J27" s="92"/>
      <c r="K27" s="63" t="s">
        <v>138</v>
      </c>
      <c r="L27" s="80"/>
      <c r="M27" s="104"/>
    </row>
    <row r="28" ht="21" customHeight="1" spans="1:13">
      <c r="A28" s="93" t="s">
        <v>98</v>
      </c>
      <c r="B28" s="94" t="s">
        <v>98</v>
      </c>
      <c r="C28" s="94" t="s">
        <v>98</v>
      </c>
      <c r="D28" s="94" t="s">
        <v>98</v>
      </c>
      <c r="E28" s="94" t="s">
        <v>98</v>
      </c>
      <c r="F28" s="95" t="s">
        <v>139</v>
      </c>
      <c r="G28" s="96" t="s">
        <v>98</v>
      </c>
      <c r="H28" s="96" t="s">
        <v>98</v>
      </c>
      <c r="I28" s="96" t="s">
        <v>98</v>
      </c>
      <c r="J28" s="96" t="s">
        <v>98</v>
      </c>
      <c r="K28" s="105">
        <f>D20/D11</f>
        <v>1.16883333205434</v>
      </c>
      <c r="L28" s="105"/>
      <c r="M28" s="105"/>
    </row>
    <row r="29" ht="21" customHeight="1" spans="1:13">
      <c r="A29" s="95" t="s">
        <v>140</v>
      </c>
      <c r="B29" s="96" t="s">
        <v>98</v>
      </c>
      <c r="C29" s="96" t="s">
        <v>98</v>
      </c>
      <c r="D29" s="97">
        <f>'4.收支预算表'!D22/10000+'4.收支预算表'!D25/10000+'4.收支预算表'!D23/10000+'4.收支预算表'!D26/10000+'4.收支预算表'!D13/10000+'4.收支预算表'!D14/10000-136.2/10000</f>
        <v>48.452491</v>
      </c>
      <c r="E29" s="98"/>
      <c r="F29" s="95" t="s">
        <v>141</v>
      </c>
      <c r="G29" s="96" t="s">
        <v>98</v>
      </c>
      <c r="H29" s="96" t="s">
        <v>98</v>
      </c>
      <c r="I29" s="96" t="s">
        <v>98</v>
      </c>
      <c r="J29" s="96" t="s">
        <v>98</v>
      </c>
      <c r="K29" s="105">
        <f t="shared" ref="K29:K32" si="0">$D$20/D29</f>
        <v>1.13166487147173</v>
      </c>
      <c r="L29" s="105"/>
      <c r="M29" s="105"/>
    </row>
    <row r="30" ht="21" customHeight="1" spans="1:13">
      <c r="A30" s="95" t="s">
        <v>142</v>
      </c>
      <c r="B30" s="96" t="s">
        <v>98</v>
      </c>
      <c r="C30" s="96" t="s">
        <v>98</v>
      </c>
      <c r="D30" s="97">
        <f>'4.收支预算表'!D25/10000+'4.收支预算表'!D26/10000</f>
        <v>28.147058</v>
      </c>
      <c r="E30" s="98"/>
      <c r="F30" s="95" t="s">
        <v>143</v>
      </c>
      <c r="G30" s="96" t="s">
        <v>98</v>
      </c>
      <c r="H30" s="96" t="s">
        <v>98</v>
      </c>
      <c r="I30" s="96" t="s">
        <v>98</v>
      </c>
      <c r="J30" s="96" t="s">
        <v>98</v>
      </c>
      <c r="K30" s="105">
        <f t="shared" si="0"/>
        <v>1.94805375396604</v>
      </c>
      <c r="L30" s="105"/>
      <c r="M30" s="105"/>
    </row>
    <row r="31" ht="21" customHeight="1" spans="1:13">
      <c r="A31" s="95" t="s">
        <v>144</v>
      </c>
      <c r="B31" s="96" t="s">
        <v>98</v>
      </c>
      <c r="C31" s="96" t="s">
        <v>98</v>
      </c>
      <c r="D31" s="97">
        <f>'4.收支预算表'!D25/10000+'4.收支预算表'!D22/10000+'4.收支预算表'!D13/10000-136.2/10000</f>
        <v>26.642006</v>
      </c>
      <c r="E31" s="98"/>
      <c r="F31" s="95" t="s">
        <v>145</v>
      </c>
      <c r="G31" s="96" t="s">
        <v>98</v>
      </c>
      <c r="H31" s="96" t="s">
        <v>98</v>
      </c>
      <c r="I31" s="96" t="s">
        <v>98</v>
      </c>
      <c r="J31" s="96" t="s">
        <v>98</v>
      </c>
      <c r="K31" s="105">
        <f t="shared" si="0"/>
        <v>2.05810260683824</v>
      </c>
      <c r="L31" s="105"/>
      <c r="M31" s="105"/>
    </row>
    <row r="32" ht="21" customHeight="1" spans="1:13">
      <c r="A32" s="95" t="s">
        <v>146</v>
      </c>
      <c r="B32" s="96" t="s">
        <v>98</v>
      </c>
      <c r="C32" s="96" t="s">
        <v>98</v>
      </c>
      <c r="D32" s="97">
        <f>'4.收支预算表'!D25/10000</f>
        <v>13.6196</v>
      </c>
      <c r="E32" s="98"/>
      <c r="F32" s="95" t="s">
        <v>147</v>
      </c>
      <c r="G32" s="96" t="s">
        <v>98</v>
      </c>
      <c r="H32" s="96" t="s">
        <v>98</v>
      </c>
      <c r="I32" s="96" t="s">
        <v>98</v>
      </c>
      <c r="J32" s="96" t="s">
        <v>98</v>
      </c>
      <c r="K32" s="105">
        <f t="shared" si="0"/>
        <v>4.02596126171106</v>
      </c>
      <c r="L32" s="105"/>
      <c r="M32" s="105"/>
    </row>
    <row r="33" ht="64" customHeight="1" spans="1:13">
      <c r="A33" s="60" t="s">
        <v>148</v>
      </c>
      <c r="B33" s="61"/>
      <c r="C33" s="75" t="s">
        <v>149</v>
      </c>
      <c r="D33" s="76"/>
      <c r="E33" s="76"/>
      <c r="F33" s="76"/>
      <c r="G33" s="76"/>
      <c r="H33" s="76"/>
      <c r="I33" s="76"/>
      <c r="J33" s="76"/>
      <c r="K33" s="76"/>
      <c r="L33" s="76"/>
      <c r="M33" s="103"/>
    </row>
    <row r="34" ht="33" customHeight="1" spans="1:13">
      <c r="A34" s="99" t="s">
        <v>150</v>
      </c>
      <c r="B34" s="100"/>
      <c r="C34" s="100"/>
      <c r="D34" s="100"/>
      <c r="E34" s="100"/>
      <c r="F34" s="100"/>
      <c r="G34" s="100"/>
      <c r="H34" s="100"/>
      <c r="I34" s="100"/>
      <c r="J34" s="100"/>
      <c r="K34" s="100"/>
      <c r="L34" s="100"/>
      <c r="M34" s="100"/>
    </row>
  </sheetData>
  <protectedRanges>
    <protectedRange sqref="D20 B22:B27 D22:D27 F22:F27 H22:H27 J22:J27 L22:M27 C33 D17:M18 D4:M5 D6:M12 D14:M14 D13:M13"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decimal" operator="between" allowBlank="1" showInputMessage="1" showErrorMessage="1" sqref="B22:B27 D22:D27 F22:F27 H22:H27 J22:J27 D17:M18 K28:M32 L22:M27">
      <formula1>0</formula1>
      <formula2>9.99999999999999E+34</formula2>
    </dataValidation>
    <dataValidation type="list" allowBlank="1" showInputMessage="1" showErrorMessage="1" sqref="D5:M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28 D29:E32">
      <formula1>1E-33</formula1>
      <formula2>9.99999999999999E+33</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20:M20">
      <formula1>0</formula1>
      <formula2>9.99999999999999E+25</formula2>
    </dataValidation>
    <dataValidation type="decimal" operator="between" allowBlank="1" showInputMessage="1" showErrorMessage="1" sqref="D12:M14">
      <formula1>0</formula1>
      <formula2>9.99999999999999E+22</formula2>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P33"/>
  <sheetViews>
    <sheetView zoomScale="70" zoomScaleNormal="70" workbookViewId="0">
      <selection activeCell="C43" sqref="C43"/>
    </sheetView>
  </sheetViews>
  <sheetFormatPr defaultColWidth="9" defaultRowHeight="15.75"/>
  <cols>
    <col min="1" max="1" width="29.5" style="20" customWidth="1"/>
    <col min="2" max="2" width="16" style="20" customWidth="1"/>
    <col min="3" max="4" width="13.25" style="20" customWidth="1"/>
    <col min="5" max="66" width="13.25" style="23" customWidth="1"/>
    <col min="67" max="16384" width="9" style="23"/>
  </cols>
  <sheetData>
    <row r="1" ht="13.5" spans="1:66">
      <c r="A1" s="24"/>
      <c r="B1" s="24"/>
      <c r="C1" s="24"/>
      <c r="D1" s="24"/>
      <c r="E1" s="25">
        <v>2022</v>
      </c>
      <c r="F1" s="25"/>
      <c r="G1" s="25">
        <f t="shared" ref="G1:K1" si="0">E1+1</f>
        <v>2023</v>
      </c>
      <c r="H1" s="25"/>
      <c r="I1" s="25">
        <f t="shared" si="0"/>
        <v>2024</v>
      </c>
      <c r="J1" s="25"/>
      <c r="K1" s="25">
        <f t="shared" si="0"/>
        <v>2025</v>
      </c>
      <c r="L1" s="25"/>
      <c r="M1" s="25">
        <f t="shared" ref="M1:Q1" si="1">K1+1</f>
        <v>2026</v>
      </c>
      <c r="N1" s="25"/>
      <c r="O1" s="25">
        <f t="shared" si="1"/>
        <v>2027</v>
      </c>
      <c r="P1" s="25"/>
      <c r="Q1" s="25">
        <f t="shared" si="1"/>
        <v>2028</v>
      </c>
      <c r="R1" s="25"/>
      <c r="S1" s="25">
        <f t="shared" ref="S1:W1" si="2">Q1+1</f>
        <v>2029</v>
      </c>
      <c r="T1" s="25"/>
      <c r="U1" s="25">
        <f t="shared" si="2"/>
        <v>2030</v>
      </c>
      <c r="V1" s="25"/>
      <c r="W1" s="25">
        <f t="shared" si="2"/>
        <v>2031</v>
      </c>
      <c r="X1" s="25"/>
      <c r="Y1" s="25">
        <f t="shared" ref="Y1:AC1" si="3">W1+1</f>
        <v>2032</v>
      </c>
      <c r="Z1" s="25"/>
      <c r="AA1" s="25">
        <f t="shared" si="3"/>
        <v>2033</v>
      </c>
      <c r="AB1" s="25"/>
      <c r="AC1" s="25">
        <f t="shared" si="3"/>
        <v>2034</v>
      </c>
      <c r="AD1" s="25"/>
      <c r="AE1" s="25">
        <f t="shared" ref="AE1:AI1" si="4">AC1+1</f>
        <v>2035</v>
      </c>
      <c r="AF1" s="25"/>
      <c r="AG1" s="25">
        <f t="shared" si="4"/>
        <v>2036</v>
      </c>
      <c r="AH1" s="25"/>
      <c r="AI1" s="25">
        <f t="shared" si="4"/>
        <v>2037</v>
      </c>
      <c r="AJ1" s="25"/>
      <c r="AK1" s="25">
        <f t="shared" ref="AK1:AO1" si="5">AI1+1</f>
        <v>2038</v>
      </c>
      <c r="AL1" s="25"/>
      <c r="AM1" s="25">
        <f t="shared" si="5"/>
        <v>2039</v>
      </c>
      <c r="AN1" s="25"/>
      <c r="AO1" s="25">
        <f t="shared" si="5"/>
        <v>2040</v>
      </c>
      <c r="AP1" s="25"/>
      <c r="AQ1" s="25">
        <f t="shared" ref="AQ1:AU1" si="6">AO1+1</f>
        <v>2041</v>
      </c>
      <c r="AR1" s="25"/>
      <c r="AS1" s="25">
        <f t="shared" si="6"/>
        <v>2042</v>
      </c>
      <c r="AT1" s="25"/>
      <c r="AU1" s="25">
        <f t="shared" si="6"/>
        <v>2043</v>
      </c>
      <c r="AV1" s="25"/>
      <c r="AW1" s="25">
        <f t="shared" ref="AW1:BA1" si="7">AU1+1</f>
        <v>2044</v>
      </c>
      <c r="AX1" s="25"/>
      <c r="AY1" s="25">
        <f t="shared" si="7"/>
        <v>2045</v>
      </c>
      <c r="AZ1" s="25"/>
      <c r="BA1" s="25">
        <f t="shared" si="7"/>
        <v>2046</v>
      </c>
      <c r="BB1" s="25"/>
      <c r="BC1" s="25">
        <f t="shared" ref="BC1:BG1" si="8">BA1+1</f>
        <v>2047</v>
      </c>
      <c r="BD1" s="25"/>
      <c r="BE1" s="25">
        <f t="shared" si="8"/>
        <v>2048</v>
      </c>
      <c r="BF1" s="25"/>
      <c r="BG1" s="25">
        <f t="shared" si="8"/>
        <v>2049</v>
      </c>
      <c r="BH1" s="25"/>
      <c r="BI1" s="25">
        <f t="shared" ref="BI1:BM1" si="9">BG1+1</f>
        <v>2050</v>
      </c>
      <c r="BJ1" s="25"/>
      <c r="BK1" s="25">
        <f t="shared" si="9"/>
        <v>2051</v>
      </c>
      <c r="BL1" s="25"/>
      <c r="BM1" s="25">
        <f t="shared" si="9"/>
        <v>2052</v>
      </c>
      <c r="BN1" s="25"/>
    </row>
    <row r="2" s="14" customFormat="1" spans="1:66">
      <c r="A2" s="26" t="s">
        <v>151</v>
      </c>
      <c r="B2" s="26" t="s">
        <v>152</v>
      </c>
      <c r="C2" s="27" t="s">
        <v>153</v>
      </c>
      <c r="D2" s="28"/>
      <c r="E2" s="29" t="s">
        <v>154</v>
      </c>
      <c r="F2" s="30"/>
      <c r="G2" s="29" t="s">
        <v>155</v>
      </c>
      <c r="H2" s="30"/>
      <c r="I2" s="29" t="s">
        <v>156</v>
      </c>
      <c r="J2" s="30"/>
      <c r="K2" s="29" t="s">
        <v>157</v>
      </c>
      <c r="L2" s="30"/>
      <c r="M2" s="29" t="s">
        <v>158</v>
      </c>
      <c r="N2" s="30"/>
      <c r="O2" s="29" t="s">
        <v>159</v>
      </c>
      <c r="P2" s="30"/>
      <c r="Q2" s="29" t="s">
        <v>160</v>
      </c>
      <c r="R2" s="30"/>
      <c r="S2" s="29" t="s">
        <v>161</v>
      </c>
      <c r="T2" s="30"/>
      <c r="U2" s="29" t="s">
        <v>162</v>
      </c>
      <c r="V2" s="30"/>
      <c r="W2" s="29" t="s">
        <v>163</v>
      </c>
      <c r="X2" s="30"/>
      <c r="Y2" s="29" t="s">
        <v>164</v>
      </c>
      <c r="Z2" s="30"/>
      <c r="AA2" s="29" t="s">
        <v>165</v>
      </c>
      <c r="AB2" s="30"/>
      <c r="AC2" s="29" t="s">
        <v>166</v>
      </c>
      <c r="AD2" s="30"/>
      <c r="AE2" s="29" t="s">
        <v>167</v>
      </c>
      <c r="AF2" s="30"/>
      <c r="AG2" s="29" t="s">
        <v>168</v>
      </c>
      <c r="AH2" s="30"/>
      <c r="AI2" s="29" t="s">
        <v>169</v>
      </c>
      <c r="AJ2" s="30"/>
      <c r="AK2" s="29" t="s">
        <v>170</v>
      </c>
      <c r="AL2" s="30"/>
      <c r="AM2" s="29" t="s">
        <v>171</v>
      </c>
      <c r="AN2" s="30"/>
      <c r="AO2" s="29" t="s">
        <v>172</v>
      </c>
      <c r="AP2" s="30"/>
      <c r="AQ2" s="29" t="s">
        <v>173</v>
      </c>
      <c r="AR2" s="30"/>
      <c r="AS2" s="29" t="s">
        <v>174</v>
      </c>
      <c r="AT2" s="30"/>
      <c r="AU2" s="29" t="s">
        <v>175</v>
      </c>
      <c r="AV2" s="30"/>
      <c r="AW2" s="29" t="s">
        <v>176</v>
      </c>
      <c r="AX2" s="30"/>
      <c r="AY2" s="29" t="s">
        <v>177</v>
      </c>
      <c r="AZ2" s="30"/>
      <c r="BA2" s="29" t="s">
        <v>178</v>
      </c>
      <c r="BB2" s="30"/>
      <c r="BC2" s="29" t="s">
        <v>179</v>
      </c>
      <c r="BD2" s="30"/>
      <c r="BE2" s="29" t="s">
        <v>180</v>
      </c>
      <c r="BF2" s="30"/>
      <c r="BG2" s="29" t="s">
        <v>181</v>
      </c>
      <c r="BH2" s="30"/>
      <c r="BI2" s="29" t="s">
        <v>182</v>
      </c>
      <c r="BJ2" s="30"/>
      <c r="BK2" s="29" t="s">
        <v>183</v>
      </c>
      <c r="BL2" s="30"/>
      <c r="BM2" s="29" t="s">
        <v>184</v>
      </c>
      <c r="BN2" s="30"/>
    </row>
    <row r="3" s="14" customFormat="1" ht="16.5" spans="1:66">
      <c r="A3" s="31"/>
      <c r="B3" s="31"/>
      <c r="C3" s="27" t="s">
        <v>185</v>
      </c>
      <c r="D3" s="27" t="s">
        <v>186</v>
      </c>
      <c r="E3" s="29" t="s">
        <v>185</v>
      </c>
      <c r="F3" s="27" t="s">
        <v>186</v>
      </c>
      <c r="G3" s="29" t="s">
        <v>185</v>
      </c>
      <c r="H3" s="29" t="s">
        <v>186</v>
      </c>
      <c r="I3" s="29" t="s">
        <v>185</v>
      </c>
      <c r="J3" s="29" t="s">
        <v>186</v>
      </c>
      <c r="K3" s="29" t="s">
        <v>185</v>
      </c>
      <c r="L3" s="29" t="s">
        <v>186</v>
      </c>
      <c r="M3" s="29" t="s">
        <v>185</v>
      </c>
      <c r="N3" s="29" t="s">
        <v>186</v>
      </c>
      <c r="O3" s="29" t="s">
        <v>185</v>
      </c>
      <c r="P3" s="29" t="s">
        <v>186</v>
      </c>
      <c r="Q3" s="29" t="s">
        <v>185</v>
      </c>
      <c r="R3" s="29" t="s">
        <v>186</v>
      </c>
      <c r="S3" s="29" t="s">
        <v>185</v>
      </c>
      <c r="T3" s="29" t="s">
        <v>186</v>
      </c>
      <c r="U3" s="29" t="s">
        <v>185</v>
      </c>
      <c r="V3" s="29" t="s">
        <v>186</v>
      </c>
      <c r="W3" s="29" t="s">
        <v>185</v>
      </c>
      <c r="X3" s="29" t="s">
        <v>186</v>
      </c>
      <c r="Y3" s="29" t="s">
        <v>185</v>
      </c>
      <c r="Z3" s="29" t="s">
        <v>186</v>
      </c>
      <c r="AA3" s="29" t="s">
        <v>185</v>
      </c>
      <c r="AB3" s="29" t="s">
        <v>186</v>
      </c>
      <c r="AC3" s="29" t="s">
        <v>185</v>
      </c>
      <c r="AD3" s="29" t="s">
        <v>186</v>
      </c>
      <c r="AE3" s="29" t="s">
        <v>185</v>
      </c>
      <c r="AF3" s="29" t="s">
        <v>186</v>
      </c>
      <c r="AG3" s="29" t="s">
        <v>185</v>
      </c>
      <c r="AH3" s="29" t="s">
        <v>186</v>
      </c>
      <c r="AI3" s="29" t="s">
        <v>185</v>
      </c>
      <c r="AJ3" s="29" t="s">
        <v>186</v>
      </c>
      <c r="AK3" s="29" t="s">
        <v>185</v>
      </c>
      <c r="AL3" s="29" t="s">
        <v>186</v>
      </c>
      <c r="AM3" s="29" t="s">
        <v>185</v>
      </c>
      <c r="AN3" s="29" t="s">
        <v>186</v>
      </c>
      <c r="AO3" s="29" t="s">
        <v>185</v>
      </c>
      <c r="AP3" s="29" t="s">
        <v>186</v>
      </c>
      <c r="AQ3" s="29" t="s">
        <v>185</v>
      </c>
      <c r="AR3" s="29" t="s">
        <v>186</v>
      </c>
      <c r="AS3" s="29" t="s">
        <v>185</v>
      </c>
      <c r="AT3" s="29" t="s">
        <v>186</v>
      </c>
      <c r="AU3" s="29" t="s">
        <v>185</v>
      </c>
      <c r="AV3" s="29" t="s">
        <v>186</v>
      </c>
      <c r="AW3" s="29" t="s">
        <v>185</v>
      </c>
      <c r="AX3" s="29" t="s">
        <v>186</v>
      </c>
      <c r="AY3" s="29" t="s">
        <v>185</v>
      </c>
      <c r="AZ3" s="29" t="s">
        <v>186</v>
      </c>
      <c r="BA3" s="29" t="s">
        <v>185</v>
      </c>
      <c r="BB3" s="29" t="s">
        <v>186</v>
      </c>
      <c r="BC3" s="29" t="s">
        <v>185</v>
      </c>
      <c r="BD3" s="29" t="s">
        <v>186</v>
      </c>
      <c r="BE3" s="29" t="s">
        <v>185</v>
      </c>
      <c r="BF3" s="29" t="s">
        <v>186</v>
      </c>
      <c r="BG3" s="29" t="s">
        <v>185</v>
      </c>
      <c r="BH3" s="29" t="s">
        <v>186</v>
      </c>
      <c r="BI3" s="29" t="s">
        <v>185</v>
      </c>
      <c r="BJ3" s="27" t="s">
        <v>186</v>
      </c>
      <c r="BK3" s="29" t="s">
        <v>185</v>
      </c>
      <c r="BL3" s="29" t="s">
        <v>186</v>
      </c>
      <c r="BM3" s="29" t="s">
        <v>185</v>
      </c>
      <c r="BN3" s="29" t="s">
        <v>186</v>
      </c>
    </row>
    <row r="4" s="15" customFormat="1" ht="16.5" spans="1:66">
      <c r="A4" s="32" t="s">
        <v>187</v>
      </c>
      <c r="B4" s="33" t="s">
        <v>188</v>
      </c>
      <c r="C4" s="34">
        <f t="shared" ref="C4:C10" si="10">SUM(E4:BN4)</f>
        <v>469117.2</v>
      </c>
      <c r="D4" s="138" t="s">
        <v>189</v>
      </c>
      <c r="E4" s="35">
        <f t="shared" ref="E4:I4" si="11">E5+E6+E8+E9+E10</f>
        <v>6896</v>
      </c>
      <c r="F4" s="138" t="s">
        <v>189</v>
      </c>
      <c r="G4" s="35">
        <f t="shared" si="11"/>
        <v>13792</v>
      </c>
      <c r="H4" s="138" t="s">
        <v>189</v>
      </c>
      <c r="I4" s="35">
        <f t="shared" si="11"/>
        <v>31894</v>
      </c>
      <c r="J4" s="138" t="s">
        <v>189</v>
      </c>
      <c r="K4" s="35">
        <f t="shared" ref="K4:O4" si="12">K5+K6+K8+K9+K10</f>
        <v>206880</v>
      </c>
      <c r="L4" s="138" t="s">
        <v>189</v>
      </c>
      <c r="M4" s="35">
        <f t="shared" si="12"/>
        <v>209655.2</v>
      </c>
      <c r="N4" s="138" t="s">
        <v>189</v>
      </c>
      <c r="O4" s="35">
        <f t="shared" si="12"/>
        <v>0</v>
      </c>
      <c r="P4" s="138" t="s">
        <v>189</v>
      </c>
      <c r="Q4" s="35">
        <f t="shared" ref="Q4:U4" si="13">Q5+Q6+Q8+Q9+Q10</f>
        <v>0</v>
      </c>
      <c r="R4" s="138" t="s">
        <v>189</v>
      </c>
      <c r="S4" s="35">
        <f t="shared" si="13"/>
        <v>0</v>
      </c>
      <c r="T4" s="138" t="s">
        <v>189</v>
      </c>
      <c r="U4" s="35">
        <f t="shared" si="13"/>
        <v>0</v>
      </c>
      <c r="V4" s="138" t="s">
        <v>189</v>
      </c>
      <c r="W4" s="35">
        <f t="shared" ref="W4:AA4" si="14">W5+W6+W8+W9+W10</f>
        <v>0</v>
      </c>
      <c r="X4" s="138" t="s">
        <v>189</v>
      </c>
      <c r="Y4" s="35">
        <f t="shared" si="14"/>
        <v>0</v>
      </c>
      <c r="Z4" s="138" t="s">
        <v>189</v>
      </c>
      <c r="AA4" s="35">
        <f t="shared" si="14"/>
        <v>0</v>
      </c>
      <c r="AB4" s="138" t="s">
        <v>189</v>
      </c>
      <c r="AC4" s="35">
        <f t="shared" ref="AC4:AG4" si="15">AC5+AC6+AC8+AC9+AC10</f>
        <v>0</v>
      </c>
      <c r="AD4" s="138" t="s">
        <v>189</v>
      </c>
      <c r="AE4" s="35">
        <f t="shared" si="15"/>
        <v>0</v>
      </c>
      <c r="AF4" s="138" t="s">
        <v>189</v>
      </c>
      <c r="AG4" s="35">
        <f t="shared" si="15"/>
        <v>0</v>
      </c>
      <c r="AH4" s="138" t="s">
        <v>189</v>
      </c>
      <c r="AI4" s="35">
        <f t="shared" ref="AI4:AM4" si="16">AI5+AI6+AI8+AI9+AI10</f>
        <v>0</v>
      </c>
      <c r="AJ4" s="138" t="s">
        <v>189</v>
      </c>
      <c r="AK4" s="35">
        <f t="shared" si="16"/>
        <v>0</v>
      </c>
      <c r="AL4" s="138" t="s">
        <v>189</v>
      </c>
      <c r="AM4" s="35">
        <f t="shared" si="16"/>
        <v>0</v>
      </c>
      <c r="AN4" s="138" t="s">
        <v>189</v>
      </c>
      <c r="AO4" s="35">
        <f t="shared" ref="AO4:AS4" si="17">AO5+AO6+AO8+AO9+AO10</f>
        <v>0</v>
      </c>
      <c r="AP4" s="138" t="s">
        <v>189</v>
      </c>
      <c r="AQ4" s="35">
        <f t="shared" si="17"/>
        <v>0</v>
      </c>
      <c r="AR4" s="138" t="s">
        <v>189</v>
      </c>
      <c r="AS4" s="35">
        <f t="shared" si="17"/>
        <v>0</v>
      </c>
      <c r="AT4" s="138" t="s">
        <v>189</v>
      </c>
      <c r="AU4" s="35">
        <f t="shared" ref="AU4:AY4" si="18">AU5+AU6+AU8+AU9+AU10</f>
        <v>0</v>
      </c>
      <c r="AV4" s="138" t="s">
        <v>189</v>
      </c>
      <c r="AW4" s="35">
        <f t="shared" si="18"/>
        <v>0</v>
      </c>
      <c r="AX4" s="138" t="s">
        <v>189</v>
      </c>
      <c r="AY4" s="35">
        <f t="shared" si="18"/>
        <v>0</v>
      </c>
      <c r="AZ4" s="138" t="s">
        <v>189</v>
      </c>
      <c r="BA4" s="35">
        <f t="shared" ref="BA4:BE4" si="19">BA5+BA6+BA8+BA9+BA10</f>
        <v>0</v>
      </c>
      <c r="BB4" s="138" t="s">
        <v>189</v>
      </c>
      <c r="BC4" s="35">
        <f t="shared" si="19"/>
        <v>0</v>
      </c>
      <c r="BD4" s="138" t="s">
        <v>189</v>
      </c>
      <c r="BE4" s="35">
        <f t="shared" si="19"/>
        <v>0</v>
      </c>
      <c r="BF4" s="138" t="s">
        <v>189</v>
      </c>
      <c r="BG4" s="35">
        <f t="shared" ref="BG4:BK4" si="20">BG5+BG6+BG8+BG9+BG10</f>
        <v>0</v>
      </c>
      <c r="BH4" s="138" t="s">
        <v>189</v>
      </c>
      <c r="BI4" s="35">
        <f t="shared" si="20"/>
        <v>0</v>
      </c>
      <c r="BJ4" s="138" t="s">
        <v>189</v>
      </c>
      <c r="BK4" s="35">
        <f t="shared" si="20"/>
        <v>0</v>
      </c>
      <c r="BL4" s="138" t="s">
        <v>189</v>
      </c>
      <c r="BM4" s="35">
        <f>BM5+BM6+BM8+BM9+BM10</f>
        <v>0</v>
      </c>
      <c r="BN4" s="138" t="s">
        <v>189</v>
      </c>
    </row>
    <row r="5" s="16" customFormat="1" ht="16.5" spans="1:66">
      <c r="A5" s="36" t="s">
        <v>190</v>
      </c>
      <c r="B5" s="37" t="s">
        <v>191</v>
      </c>
      <c r="C5" s="34">
        <f t="shared" si="10"/>
        <v>187646.62</v>
      </c>
      <c r="D5" s="138" t="s">
        <v>189</v>
      </c>
      <c r="E5" s="38">
        <v>6896</v>
      </c>
      <c r="F5" s="138" t="s">
        <v>189</v>
      </c>
      <c r="G5" s="38">
        <v>13792</v>
      </c>
      <c r="H5" s="138" t="s">
        <v>189</v>
      </c>
      <c r="I5" s="38">
        <v>31894</v>
      </c>
      <c r="J5" s="138" t="s">
        <v>189</v>
      </c>
      <c r="K5" s="38">
        <v>62064</v>
      </c>
      <c r="L5" s="138" t="s">
        <v>189</v>
      </c>
      <c r="M5" s="38">
        <v>73000.62</v>
      </c>
      <c r="N5" s="138" t="s">
        <v>189</v>
      </c>
      <c r="O5" s="38"/>
      <c r="P5" s="138" t="s">
        <v>189</v>
      </c>
      <c r="Q5" s="38"/>
      <c r="R5" s="138" t="s">
        <v>189</v>
      </c>
      <c r="S5" s="38"/>
      <c r="T5" s="138" t="s">
        <v>189</v>
      </c>
      <c r="U5" s="38"/>
      <c r="V5" s="138" t="s">
        <v>189</v>
      </c>
      <c r="W5" s="38"/>
      <c r="X5" s="138" t="s">
        <v>189</v>
      </c>
      <c r="Y5" s="38"/>
      <c r="Z5" s="138" t="s">
        <v>189</v>
      </c>
      <c r="AA5" s="38"/>
      <c r="AB5" s="138" t="s">
        <v>189</v>
      </c>
      <c r="AC5" s="38"/>
      <c r="AD5" s="138" t="s">
        <v>189</v>
      </c>
      <c r="AE5" s="38"/>
      <c r="AF5" s="138" t="s">
        <v>189</v>
      </c>
      <c r="AG5" s="38"/>
      <c r="AH5" s="138" t="s">
        <v>189</v>
      </c>
      <c r="AI5" s="38"/>
      <c r="AJ5" s="138" t="s">
        <v>189</v>
      </c>
      <c r="AK5" s="38"/>
      <c r="AL5" s="138" t="s">
        <v>189</v>
      </c>
      <c r="AM5" s="38"/>
      <c r="AN5" s="138" t="s">
        <v>189</v>
      </c>
      <c r="AO5" s="38"/>
      <c r="AP5" s="138" t="s">
        <v>189</v>
      </c>
      <c r="AQ5" s="38"/>
      <c r="AR5" s="138" t="s">
        <v>189</v>
      </c>
      <c r="AS5" s="38"/>
      <c r="AT5" s="138" t="s">
        <v>189</v>
      </c>
      <c r="AU5" s="38"/>
      <c r="AV5" s="138" t="s">
        <v>189</v>
      </c>
      <c r="AW5" s="38"/>
      <c r="AX5" s="138" t="s">
        <v>189</v>
      </c>
      <c r="AY5" s="38"/>
      <c r="AZ5" s="138" t="s">
        <v>189</v>
      </c>
      <c r="BA5" s="38"/>
      <c r="BB5" s="138" t="s">
        <v>189</v>
      </c>
      <c r="BC5" s="38"/>
      <c r="BD5" s="138" t="s">
        <v>189</v>
      </c>
      <c r="BE5" s="38"/>
      <c r="BF5" s="138" t="s">
        <v>189</v>
      </c>
      <c r="BG5" s="38"/>
      <c r="BH5" s="138" t="s">
        <v>189</v>
      </c>
      <c r="BI5" s="38"/>
      <c r="BJ5" s="138" t="s">
        <v>189</v>
      </c>
      <c r="BK5" s="38"/>
      <c r="BL5" s="138" t="s">
        <v>189</v>
      </c>
      <c r="BM5" s="38"/>
      <c r="BN5" s="138" t="s">
        <v>189</v>
      </c>
    </row>
    <row r="6" s="17" customFormat="1" ht="16.5" spans="1:66">
      <c r="A6" s="36" t="s">
        <v>192</v>
      </c>
      <c r="B6" s="37" t="s">
        <v>193</v>
      </c>
      <c r="C6" s="34">
        <f t="shared" si="10"/>
        <v>136196</v>
      </c>
      <c r="D6" s="138" t="s">
        <v>189</v>
      </c>
      <c r="E6" s="38"/>
      <c r="F6" s="138" t="s">
        <v>189</v>
      </c>
      <c r="G6" s="38"/>
      <c r="H6" s="138" t="s">
        <v>189</v>
      </c>
      <c r="I6" s="38"/>
      <c r="J6" s="138" t="s">
        <v>189</v>
      </c>
      <c r="K6" s="38">
        <v>65512</v>
      </c>
      <c r="L6" s="138" t="s">
        <v>189</v>
      </c>
      <c r="M6" s="38">
        <v>70684</v>
      </c>
      <c r="N6" s="138" t="s">
        <v>189</v>
      </c>
      <c r="O6" s="38"/>
      <c r="P6" s="138" t="s">
        <v>189</v>
      </c>
      <c r="Q6" s="38"/>
      <c r="R6" s="138" t="s">
        <v>189</v>
      </c>
      <c r="S6" s="38"/>
      <c r="T6" s="138" t="s">
        <v>189</v>
      </c>
      <c r="U6" s="38"/>
      <c r="V6" s="138" t="s">
        <v>189</v>
      </c>
      <c r="W6" s="38"/>
      <c r="X6" s="138" t="s">
        <v>189</v>
      </c>
      <c r="Y6" s="38"/>
      <c r="Z6" s="138" t="s">
        <v>189</v>
      </c>
      <c r="AA6" s="38"/>
      <c r="AB6" s="138" t="s">
        <v>189</v>
      </c>
      <c r="AC6" s="38"/>
      <c r="AD6" s="138" t="s">
        <v>189</v>
      </c>
      <c r="AE6" s="38"/>
      <c r="AF6" s="138" t="s">
        <v>189</v>
      </c>
      <c r="AG6" s="38"/>
      <c r="AH6" s="138" t="s">
        <v>189</v>
      </c>
      <c r="AI6" s="38"/>
      <c r="AJ6" s="138" t="s">
        <v>189</v>
      </c>
      <c r="AK6" s="38"/>
      <c r="AL6" s="138" t="s">
        <v>189</v>
      </c>
      <c r="AM6" s="38"/>
      <c r="AN6" s="138" t="s">
        <v>189</v>
      </c>
      <c r="AO6" s="38"/>
      <c r="AP6" s="138" t="s">
        <v>189</v>
      </c>
      <c r="AQ6" s="38"/>
      <c r="AR6" s="138" t="s">
        <v>189</v>
      </c>
      <c r="AS6" s="38"/>
      <c r="AT6" s="138" t="s">
        <v>189</v>
      </c>
      <c r="AU6" s="38"/>
      <c r="AV6" s="138" t="s">
        <v>189</v>
      </c>
      <c r="AW6" s="38"/>
      <c r="AX6" s="138" t="s">
        <v>189</v>
      </c>
      <c r="AY6" s="38"/>
      <c r="AZ6" s="138" t="s">
        <v>189</v>
      </c>
      <c r="BA6" s="38"/>
      <c r="BB6" s="138" t="s">
        <v>189</v>
      </c>
      <c r="BC6" s="38"/>
      <c r="BD6" s="138" t="s">
        <v>189</v>
      </c>
      <c r="BE6" s="38"/>
      <c r="BF6" s="138" t="s">
        <v>189</v>
      </c>
      <c r="BG6" s="38"/>
      <c r="BH6" s="138" t="s">
        <v>189</v>
      </c>
      <c r="BI6" s="38"/>
      <c r="BJ6" s="138" t="s">
        <v>189</v>
      </c>
      <c r="BK6" s="38"/>
      <c r="BL6" s="138" t="s">
        <v>189</v>
      </c>
      <c r="BM6" s="38"/>
      <c r="BN6" s="138" t="s">
        <v>189</v>
      </c>
    </row>
    <row r="7" s="16" customFormat="1" ht="16.5" spans="1:66">
      <c r="A7" s="39" t="s">
        <v>194</v>
      </c>
      <c r="B7" s="37" t="s">
        <v>195</v>
      </c>
      <c r="C7" s="34">
        <f t="shared" si="10"/>
        <v>0</v>
      </c>
      <c r="D7" s="138" t="s">
        <v>189</v>
      </c>
      <c r="E7" s="38"/>
      <c r="F7" s="138" t="s">
        <v>189</v>
      </c>
      <c r="G7" s="38"/>
      <c r="H7" s="138" t="s">
        <v>189</v>
      </c>
      <c r="I7" s="38"/>
      <c r="J7" s="138" t="s">
        <v>189</v>
      </c>
      <c r="K7" s="38"/>
      <c r="L7" s="138" t="s">
        <v>189</v>
      </c>
      <c r="M7" s="38"/>
      <c r="N7" s="138" t="s">
        <v>189</v>
      </c>
      <c r="O7" s="38"/>
      <c r="P7" s="138" t="s">
        <v>189</v>
      </c>
      <c r="Q7" s="38"/>
      <c r="R7" s="138" t="s">
        <v>189</v>
      </c>
      <c r="S7" s="38"/>
      <c r="T7" s="138" t="s">
        <v>189</v>
      </c>
      <c r="U7" s="38"/>
      <c r="V7" s="138" t="s">
        <v>189</v>
      </c>
      <c r="W7" s="38"/>
      <c r="X7" s="138" t="s">
        <v>189</v>
      </c>
      <c r="Y7" s="38"/>
      <c r="Z7" s="138" t="s">
        <v>189</v>
      </c>
      <c r="AA7" s="38"/>
      <c r="AB7" s="138" t="s">
        <v>189</v>
      </c>
      <c r="AC7" s="38"/>
      <c r="AD7" s="138" t="s">
        <v>189</v>
      </c>
      <c r="AE7" s="38"/>
      <c r="AF7" s="138" t="s">
        <v>189</v>
      </c>
      <c r="AG7" s="38"/>
      <c r="AH7" s="138" t="s">
        <v>189</v>
      </c>
      <c r="AI7" s="38"/>
      <c r="AJ7" s="138" t="s">
        <v>189</v>
      </c>
      <c r="AK7" s="38"/>
      <c r="AL7" s="138" t="s">
        <v>189</v>
      </c>
      <c r="AM7" s="38"/>
      <c r="AN7" s="138" t="s">
        <v>189</v>
      </c>
      <c r="AO7" s="38"/>
      <c r="AP7" s="138" t="s">
        <v>189</v>
      </c>
      <c r="AQ7" s="38"/>
      <c r="AR7" s="138" t="s">
        <v>189</v>
      </c>
      <c r="AS7" s="38"/>
      <c r="AT7" s="138" t="s">
        <v>189</v>
      </c>
      <c r="AU7" s="38"/>
      <c r="AV7" s="138" t="s">
        <v>189</v>
      </c>
      <c r="AW7" s="38"/>
      <c r="AX7" s="138" t="s">
        <v>189</v>
      </c>
      <c r="AY7" s="38"/>
      <c r="AZ7" s="138" t="s">
        <v>189</v>
      </c>
      <c r="BA7" s="38"/>
      <c r="BB7" s="138" t="s">
        <v>189</v>
      </c>
      <c r="BC7" s="38"/>
      <c r="BD7" s="138" t="s">
        <v>189</v>
      </c>
      <c r="BE7" s="38"/>
      <c r="BF7" s="138" t="s">
        <v>189</v>
      </c>
      <c r="BG7" s="38"/>
      <c r="BH7" s="138" t="s">
        <v>189</v>
      </c>
      <c r="BI7" s="38"/>
      <c r="BJ7" s="138" t="s">
        <v>189</v>
      </c>
      <c r="BK7" s="38"/>
      <c r="BL7" s="138" t="s">
        <v>189</v>
      </c>
      <c r="BM7" s="38"/>
      <c r="BN7" s="138" t="s">
        <v>189</v>
      </c>
    </row>
    <row r="8" s="16" customFormat="1" ht="16.5" spans="1:66">
      <c r="A8" s="32" t="s">
        <v>196</v>
      </c>
      <c r="B8" s="33" t="s">
        <v>197</v>
      </c>
      <c r="C8" s="34">
        <f t="shared" si="10"/>
        <v>145274.58</v>
      </c>
      <c r="D8" s="138" t="s">
        <v>189</v>
      </c>
      <c r="E8" s="38"/>
      <c r="F8" s="138" t="s">
        <v>189</v>
      </c>
      <c r="G8" s="38"/>
      <c r="H8" s="138" t="s">
        <v>189</v>
      </c>
      <c r="I8" s="38"/>
      <c r="J8" s="138" t="s">
        <v>189</v>
      </c>
      <c r="K8" s="38">
        <v>79304</v>
      </c>
      <c r="L8" s="138" t="s">
        <v>189</v>
      </c>
      <c r="M8" s="38">
        <v>65970.58</v>
      </c>
      <c r="N8" s="138" t="s">
        <v>189</v>
      </c>
      <c r="O8" s="38"/>
      <c r="P8" s="138" t="s">
        <v>189</v>
      </c>
      <c r="Q8" s="38"/>
      <c r="R8" s="138" t="s">
        <v>189</v>
      </c>
      <c r="S8" s="38"/>
      <c r="T8" s="138" t="s">
        <v>189</v>
      </c>
      <c r="U8" s="38"/>
      <c r="V8" s="138" t="s">
        <v>189</v>
      </c>
      <c r="W8" s="38"/>
      <c r="X8" s="138" t="s">
        <v>189</v>
      </c>
      <c r="Y8" s="38"/>
      <c r="Z8" s="138" t="s">
        <v>189</v>
      </c>
      <c r="AA8" s="38"/>
      <c r="AB8" s="138" t="s">
        <v>189</v>
      </c>
      <c r="AC8" s="38"/>
      <c r="AD8" s="138" t="s">
        <v>189</v>
      </c>
      <c r="AE8" s="38"/>
      <c r="AF8" s="138" t="s">
        <v>189</v>
      </c>
      <c r="AG8" s="38"/>
      <c r="AH8" s="138" t="s">
        <v>189</v>
      </c>
      <c r="AI8" s="38"/>
      <c r="AJ8" s="138" t="s">
        <v>189</v>
      </c>
      <c r="AK8" s="38"/>
      <c r="AL8" s="138" t="s">
        <v>189</v>
      </c>
      <c r="AM8" s="38"/>
      <c r="AN8" s="138" t="s">
        <v>189</v>
      </c>
      <c r="AO8" s="38"/>
      <c r="AP8" s="138" t="s">
        <v>189</v>
      </c>
      <c r="AQ8" s="38"/>
      <c r="AR8" s="138" t="s">
        <v>189</v>
      </c>
      <c r="AS8" s="38"/>
      <c r="AT8" s="138" t="s">
        <v>189</v>
      </c>
      <c r="AU8" s="38"/>
      <c r="AV8" s="138" t="s">
        <v>189</v>
      </c>
      <c r="AW8" s="38"/>
      <c r="AX8" s="138" t="s">
        <v>189</v>
      </c>
      <c r="AY8" s="38"/>
      <c r="AZ8" s="138" t="s">
        <v>189</v>
      </c>
      <c r="BA8" s="38"/>
      <c r="BB8" s="138" t="s">
        <v>189</v>
      </c>
      <c r="BC8" s="38"/>
      <c r="BD8" s="138" t="s">
        <v>189</v>
      </c>
      <c r="BE8" s="38"/>
      <c r="BF8" s="138" t="s">
        <v>189</v>
      </c>
      <c r="BG8" s="38"/>
      <c r="BH8" s="138" t="s">
        <v>189</v>
      </c>
      <c r="BI8" s="38"/>
      <c r="BJ8" s="138" t="s">
        <v>189</v>
      </c>
      <c r="BK8" s="38"/>
      <c r="BL8" s="138" t="s">
        <v>189</v>
      </c>
      <c r="BM8" s="38"/>
      <c r="BN8" s="138" t="s">
        <v>189</v>
      </c>
    </row>
    <row r="9" s="16" customFormat="1" ht="16.5" spans="1:66">
      <c r="A9" s="36" t="s">
        <v>198</v>
      </c>
      <c r="B9" s="37" t="s">
        <v>199</v>
      </c>
      <c r="C9" s="34">
        <f t="shared" si="10"/>
        <v>0</v>
      </c>
      <c r="D9" s="138" t="s">
        <v>189</v>
      </c>
      <c r="E9" s="38"/>
      <c r="F9" s="138" t="s">
        <v>189</v>
      </c>
      <c r="G9" s="38"/>
      <c r="H9" s="139" t="s">
        <v>189</v>
      </c>
      <c r="I9" s="38"/>
      <c r="J9" s="138" t="s">
        <v>189</v>
      </c>
      <c r="K9" s="38"/>
      <c r="L9" s="138" t="s">
        <v>189</v>
      </c>
      <c r="M9" s="38"/>
      <c r="N9" s="138" t="s">
        <v>189</v>
      </c>
      <c r="O9" s="38"/>
      <c r="P9" s="138" t="s">
        <v>189</v>
      </c>
      <c r="Q9" s="38"/>
      <c r="R9" s="138" t="s">
        <v>189</v>
      </c>
      <c r="S9" s="38"/>
      <c r="T9" s="138" t="s">
        <v>189</v>
      </c>
      <c r="U9" s="38"/>
      <c r="V9" s="138" t="s">
        <v>189</v>
      </c>
      <c r="W9" s="38"/>
      <c r="X9" s="138" t="s">
        <v>189</v>
      </c>
      <c r="Y9" s="38"/>
      <c r="Z9" s="138" t="s">
        <v>189</v>
      </c>
      <c r="AA9" s="38"/>
      <c r="AB9" s="138" t="s">
        <v>189</v>
      </c>
      <c r="AC9" s="38"/>
      <c r="AD9" s="138" t="s">
        <v>189</v>
      </c>
      <c r="AE9" s="38"/>
      <c r="AF9" s="138" t="s">
        <v>189</v>
      </c>
      <c r="AG9" s="38"/>
      <c r="AH9" s="138" t="s">
        <v>189</v>
      </c>
      <c r="AI9" s="38"/>
      <c r="AJ9" s="138" t="s">
        <v>189</v>
      </c>
      <c r="AK9" s="38"/>
      <c r="AL9" s="138" t="s">
        <v>189</v>
      </c>
      <c r="AM9" s="38"/>
      <c r="AN9" s="138" t="s">
        <v>189</v>
      </c>
      <c r="AO9" s="38"/>
      <c r="AP9" s="138" t="s">
        <v>189</v>
      </c>
      <c r="AQ9" s="38"/>
      <c r="AR9" s="138" t="s">
        <v>189</v>
      </c>
      <c r="AS9" s="38"/>
      <c r="AT9" s="138" t="s">
        <v>189</v>
      </c>
      <c r="AU9" s="38"/>
      <c r="AV9" s="138" t="s">
        <v>189</v>
      </c>
      <c r="AW9" s="38"/>
      <c r="AX9" s="138" t="s">
        <v>189</v>
      </c>
      <c r="AY9" s="38"/>
      <c r="AZ9" s="138" t="s">
        <v>189</v>
      </c>
      <c r="BA9" s="38"/>
      <c r="BB9" s="138" t="s">
        <v>189</v>
      </c>
      <c r="BC9" s="38"/>
      <c r="BD9" s="138" t="s">
        <v>189</v>
      </c>
      <c r="BE9" s="38"/>
      <c r="BF9" s="138" t="s">
        <v>189</v>
      </c>
      <c r="BG9" s="38"/>
      <c r="BH9" s="138" t="s">
        <v>189</v>
      </c>
      <c r="BI9" s="38"/>
      <c r="BJ9" s="138" t="s">
        <v>189</v>
      </c>
      <c r="BK9" s="38"/>
      <c r="BL9" s="138" t="s">
        <v>189</v>
      </c>
      <c r="BM9" s="38"/>
      <c r="BN9" s="138" t="s">
        <v>189</v>
      </c>
    </row>
    <row r="10" s="16" customFormat="1" ht="16.5" spans="1:66">
      <c r="A10" s="36" t="s">
        <v>200</v>
      </c>
      <c r="B10" s="37" t="s">
        <v>201</v>
      </c>
      <c r="C10" s="34">
        <f t="shared" si="10"/>
        <v>0</v>
      </c>
      <c r="D10" s="138" t="s">
        <v>189</v>
      </c>
      <c r="E10" s="38"/>
      <c r="F10" s="138" t="s">
        <v>189</v>
      </c>
      <c r="G10" s="38"/>
      <c r="H10" s="138" t="s">
        <v>189</v>
      </c>
      <c r="I10" s="38"/>
      <c r="J10" s="138" t="s">
        <v>189</v>
      </c>
      <c r="K10" s="38"/>
      <c r="L10" s="138" t="s">
        <v>189</v>
      </c>
      <c r="M10" s="38"/>
      <c r="N10" s="138" t="s">
        <v>189</v>
      </c>
      <c r="O10" s="38"/>
      <c r="P10" s="138" t="s">
        <v>189</v>
      </c>
      <c r="Q10" s="38"/>
      <c r="R10" s="138" t="s">
        <v>189</v>
      </c>
      <c r="S10" s="38"/>
      <c r="T10" s="138" t="s">
        <v>189</v>
      </c>
      <c r="U10" s="38"/>
      <c r="V10" s="138" t="s">
        <v>189</v>
      </c>
      <c r="W10" s="38"/>
      <c r="X10" s="138" t="s">
        <v>189</v>
      </c>
      <c r="Y10" s="38"/>
      <c r="Z10" s="138" t="s">
        <v>189</v>
      </c>
      <c r="AA10" s="38"/>
      <c r="AB10" s="138" t="s">
        <v>189</v>
      </c>
      <c r="AC10" s="38"/>
      <c r="AD10" s="138" t="s">
        <v>189</v>
      </c>
      <c r="AE10" s="38"/>
      <c r="AF10" s="138" t="s">
        <v>189</v>
      </c>
      <c r="AG10" s="38"/>
      <c r="AH10" s="138" t="s">
        <v>189</v>
      </c>
      <c r="AI10" s="38"/>
      <c r="AJ10" s="138" t="s">
        <v>189</v>
      </c>
      <c r="AK10" s="38"/>
      <c r="AL10" s="138" t="s">
        <v>189</v>
      </c>
      <c r="AM10" s="38"/>
      <c r="AN10" s="138" t="s">
        <v>189</v>
      </c>
      <c r="AO10" s="38"/>
      <c r="AP10" s="138" t="s">
        <v>189</v>
      </c>
      <c r="AQ10" s="38"/>
      <c r="AR10" s="138" t="s">
        <v>189</v>
      </c>
      <c r="AS10" s="38"/>
      <c r="AT10" s="138" t="s">
        <v>189</v>
      </c>
      <c r="AU10" s="38"/>
      <c r="AV10" s="138" t="s">
        <v>189</v>
      </c>
      <c r="AW10" s="38"/>
      <c r="AX10" s="138" t="s">
        <v>189</v>
      </c>
      <c r="AY10" s="38"/>
      <c r="AZ10" s="138" t="s">
        <v>189</v>
      </c>
      <c r="BA10" s="38"/>
      <c r="BB10" s="138" t="s">
        <v>189</v>
      </c>
      <c r="BC10" s="38"/>
      <c r="BD10" s="138" t="s">
        <v>189</v>
      </c>
      <c r="BE10" s="38"/>
      <c r="BF10" s="138" t="s">
        <v>189</v>
      </c>
      <c r="BG10" s="38"/>
      <c r="BH10" s="138" t="s">
        <v>189</v>
      </c>
      <c r="BI10" s="38"/>
      <c r="BJ10" s="138" t="s">
        <v>189</v>
      </c>
      <c r="BK10" s="38"/>
      <c r="BL10" s="138" t="s">
        <v>189</v>
      </c>
      <c r="BM10" s="38"/>
      <c r="BN10" s="138" t="s">
        <v>189</v>
      </c>
    </row>
    <row r="11" s="18" customFormat="1" ht="16.5" spans="1:66">
      <c r="A11" s="36" t="s">
        <v>202</v>
      </c>
      <c r="B11" s="37" t="s">
        <v>203</v>
      </c>
      <c r="C11" s="138" t="s">
        <v>189</v>
      </c>
      <c r="D11" s="34">
        <f t="shared" ref="D11:D15" si="21">SUM(E11:BN11)</f>
        <v>469117.2</v>
      </c>
      <c r="E11" s="138" t="s">
        <v>189</v>
      </c>
      <c r="F11" s="41">
        <f>F12+F13+F14+F15</f>
        <v>6896</v>
      </c>
      <c r="G11" s="138" t="s">
        <v>189</v>
      </c>
      <c r="H11" s="41">
        <f>H12+H13+H14+H15</f>
        <v>13792</v>
      </c>
      <c r="I11" s="138" t="s">
        <v>189</v>
      </c>
      <c r="J11" s="41">
        <f>J12+J13+J14+J15</f>
        <v>31894</v>
      </c>
      <c r="K11" s="138" t="s">
        <v>189</v>
      </c>
      <c r="L11" s="41">
        <f>L12+L13+L14+L15</f>
        <v>206880</v>
      </c>
      <c r="M11" s="138" t="s">
        <v>189</v>
      </c>
      <c r="N11" s="41">
        <f t="shared" ref="N11:P11" si="22">N12+N13+N14+N15</f>
        <v>209655.2</v>
      </c>
      <c r="O11" s="138" t="s">
        <v>189</v>
      </c>
      <c r="P11" s="41">
        <f t="shared" si="22"/>
        <v>0</v>
      </c>
      <c r="Q11" s="138" t="s">
        <v>189</v>
      </c>
      <c r="R11" s="41">
        <f t="shared" ref="R11:V11" si="23">R12+R13+R14+R15</f>
        <v>0</v>
      </c>
      <c r="S11" s="138" t="s">
        <v>189</v>
      </c>
      <c r="T11" s="41">
        <f t="shared" si="23"/>
        <v>0</v>
      </c>
      <c r="U11" s="138" t="s">
        <v>189</v>
      </c>
      <c r="V11" s="41">
        <f t="shared" si="23"/>
        <v>0</v>
      </c>
      <c r="W11" s="138" t="s">
        <v>189</v>
      </c>
      <c r="X11" s="41">
        <f t="shared" ref="X11:AB11" si="24">X12+X13+X14+X15</f>
        <v>0</v>
      </c>
      <c r="Y11" s="138" t="s">
        <v>189</v>
      </c>
      <c r="Z11" s="41">
        <f t="shared" si="24"/>
        <v>0</v>
      </c>
      <c r="AA11" s="138" t="s">
        <v>189</v>
      </c>
      <c r="AB11" s="41">
        <f t="shared" si="24"/>
        <v>0</v>
      </c>
      <c r="AC11" s="138" t="s">
        <v>189</v>
      </c>
      <c r="AD11" s="41">
        <f t="shared" ref="AD11:AH11" si="25">AD12+AD13+AD14+AD15</f>
        <v>0</v>
      </c>
      <c r="AE11" s="138" t="s">
        <v>189</v>
      </c>
      <c r="AF11" s="41">
        <f t="shared" si="25"/>
        <v>0</v>
      </c>
      <c r="AG11" s="138" t="s">
        <v>189</v>
      </c>
      <c r="AH11" s="41">
        <f t="shared" si="25"/>
        <v>0</v>
      </c>
      <c r="AI11" s="138" t="s">
        <v>189</v>
      </c>
      <c r="AJ11" s="41">
        <f t="shared" ref="AJ11:AN11" si="26">AJ12+AJ13+AJ14+AJ15</f>
        <v>0</v>
      </c>
      <c r="AK11" s="138" t="s">
        <v>189</v>
      </c>
      <c r="AL11" s="41">
        <f t="shared" si="26"/>
        <v>0</v>
      </c>
      <c r="AM11" s="138" t="s">
        <v>189</v>
      </c>
      <c r="AN11" s="41">
        <f t="shared" si="26"/>
        <v>0</v>
      </c>
      <c r="AO11" s="138" t="s">
        <v>189</v>
      </c>
      <c r="AP11" s="41">
        <f t="shared" ref="AP11:AT11" si="27">AP12+AP13+AP14+AP15</f>
        <v>0</v>
      </c>
      <c r="AQ11" s="138" t="s">
        <v>189</v>
      </c>
      <c r="AR11" s="41">
        <f t="shared" si="27"/>
        <v>0</v>
      </c>
      <c r="AS11" s="138" t="s">
        <v>189</v>
      </c>
      <c r="AT11" s="41">
        <f t="shared" si="27"/>
        <v>0</v>
      </c>
      <c r="AU11" s="138" t="s">
        <v>189</v>
      </c>
      <c r="AV11" s="41">
        <f t="shared" ref="AV11:AZ11" si="28">AV12+AV13+AV14+AV15</f>
        <v>0</v>
      </c>
      <c r="AW11" s="138" t="s">
        <v>189</v>
      </c>
      <c r="AX11" s="41">
        <f t="shared" si="28"/>
        <v>0</v>
      </c>
      <c r="AY11" s="138" t="s">
        <v>189</v>
      </c>
      <c r="AZ11" s="41">
        <f t="shared" si="28"/>
        <v>0</v>
      </c>
      <c r="BA11" s="138" t="s">
        <v>189</v>
      </c>
      <c r="BB11" s="41">
        <f t="shared" ref="BB11:BF11" si="29">BB12+BB13+BB14+BB15</f>
        <v>0</v>
      </c>
      <c r="BC11" s="138" t="s">
        <v>189</v>
      </c>
      <c r="BD11" s="41">
        <f t="shared" si="29"/>
        <v>0</v>
      </c>
      <c r="BE11" s="138" t="s">
        <v>189</v>
      </c>
      <c r="BF11" s="41">
        <f t="shared" si="29"/>
        <v>0</v>
      </c>
      <c r="BG11" s="138" t="s">
        <v>189</v>
      </c>
      <c r="BH11" s="41">
        <f t="shared" ref="BH11:BL11" si="30">BH12+BH13+BH14+BH15</f>
        <v>0</v>
      </c>
      <c r="BI11" s="138" t="s">
        <v>189</v>
      </c>
      <c r="BJ11" s="41">
        <f t="shared" si="30"/>
        <v>0</v>
      </c>
      <c r="BK11" s="138" t="s">
        <v>189</v>
      </c>
      <c r="BL11" s="41">
        <f t="shared" si="30"/>
        <v>0</v>
      </c>
      <c r="BM11" s="138" t="s">
        <v>189</v>
      </c>
      <c r="BN11" s="41">
        <f>BN12+BN13+BN14+BN15</f>
        <v>0</v>
      </c>
    </row>
    <row r="12" s="16" customFormat="1" ht="16.5" spans="1:66">
      <c r="A12" s="36" t="s">
        <v>204</v>
      </c>
      <c r="B12" s="37" t="s">
        <v>205</v>
      </c>
      <c r="C12" s="138" t="s">
        <v>189</v>
      </c>
      <c r="D12" s="34">
        <f t="shared" si="21"/>
        <v>456805.49</v>
      </c>
      <c r="E12" s="138" t="s">
        <v>189</v>
      </c>
      <c r="F12" s="42">
        <v>6896</v>
      </c>
      <c r="G12" s="138" t="s">
        <v>189</v>
      </c>
      <c r="H12" s="42">
        <v>13792</v>
      </c>
      <c r="I12" s="138" t="s">
        <v>189</v>
      </c>
      <c r="J12" s="42">
        <v>31894</v>
      </c>
      <c r="K12" s="138" t="s">
        <v>189</v>
      </c>
      <c r="L12" s="38">
        <v>203428.12</v>
      </c>
      <c r="M12" s="138" t="s">
        <v>189</v>
      </c>
      <c r="N12" s="38">
        <v>200795.37</v>
      </c>
      <c r="O12" s="138" t="s">
        <v>189</v>
      </c>
      <c r="P12" s="38"/>
      <c r="Q12" s="138" t="s">
        <v>189</v>
      </c>
      <c r="R12" s="38"/>
      <c r="S12" s="138" t="s">
        <v>189</v>
      </c>
      <c r="T12" s="38"/>
      <c r="U12" s="138" t="s">
        <v>189</v>
      </c>
      <c r="V12" s="38"/>
      <c r="W12" s="138" t="s">
        <v>189</v>
      </c>
      <c r="X12" s="38"/>
      <c r="Y12" s="138" t="s">
        <v>189</v>
      </c>
      <c r="Z12" s="38"/>
      <c r="AA12" s="138" t="s">
        <v>189</v>
      </c>
      <c r="AB12" s="38"/>
      <c r="AC12" s="138" t="s">
        <v>189</v>
      </c>
      <c r="AD12" s="38"/>
      <c r="AE12" s="138" t="s">
        <v>189</v>
      </c>
      <c r="AF12" s="38"/>
      <c r="AG12" s="138" t="s">
        <v>189</v>
      </c>
      <c r="AH12" s="38"/>
      <c r="AI12" s="138" t="s">
        <v>189</v>
      </c>
      <c r="AJ12" s="38"/>
      <c r="AK12" s="138" t="s">
        <v>189</v>
      </c>
      <c r="AL12" s="38"/>
      <c r="AM12" s="138" t="s">
        <v>189</v>
      </c>
      <c r="AN12" s="38"/>
      <c r="AO12" s="138" t="s">
        <v>189</v>
      </c>
      <c r="AP12" s="38"/>
      <c r="AQ12" s="138" t="s">
        <v>189</v>
      </c>
      <c r="AR12" s="38"/>
      <c r="AS12" s="138" t="s">
        <v>189</v>
      </c>
      <c r="AT12" s="38"/>
      <c r="AU12" s="138" t="s">
        <v>189</v>
      </c>
      <c r="AV12" s="38"/>
      <c r="AW12" s="138" t="s">
        <v>189</v>
      </c>
      <c r="AX12" s="38"/>
      <c r="AY12" s="138" t="s">
        <v>189</v>
      </c>
      <c r="AZ12" s="38"/>
      <c r="BA12" s="138" t="s">
        <v>189</v>
      </c>
      <c r="BB12" s="38"/>
      <c r="BC12" s="138" t="s">
        <v>189</v>
      </c>
      <c r="BD12" s="38"/>
      <c r="BE12" s="138" t="s">
        <v>189</v>
      </c>
      <c r="BF12" s="38"/>
      <c r="BG12" s="138" t="s">
        <v>189</v>
      </c>
      <c r="BH12" s="38"/>
      <c r="BI12" s="138" t="s">
        <v>189</v>
      </c>
      <c r="BJ12" s="38"/>
      <c r="BK12" s="138" t="s">
        <v>189</v>
      </c>
      <c r="BL12" s="38"/>
      <c r="BM12" s="138" t="s">
        <v>189</v>
      </c>
      <c r="BN12" s="38"/>
    </row>
    <row r="13" s="18" customFormat="1" ht="16.5" spans="1:66">
      <c r="A13" s="36" t="s">
        <v>206</v>
      </c>
      <c r="B13" s="37" t="s">
        <v>207</v>
      </c>
      <c r="C13" s="138" t="s">
        <v>189</v>
      </c>
      <c r="D13" s="34">
        <f t="shared" si="21"/>
        <v>6066.76</v>
      </c>
      <c r="E13" s="138" t="s">
        <v>189</v>
      </c>
      <c r="F13" s="41"/>
      <c r="G13" s="138" t="s">
        <v>189</v>
      </c>
      <c r="H13" s="41"/>
      <c r="I13" s="138" t="s">
        <v>189</v>
      </c>
      <c r="J13" s="41"/>
      <c r="K13" s="138" t="s">
        <v>189</v>
      </c>
      <c r="L13" s="41">
        <v>1637.8</v>
      </c>
      <c r="M13" s="138" t="s">
        <v>189</v>
      </c>
      <c r="N13" s="41">
        <v>4428.96</v>
      </c>
      <c r="O13" s="138" t="s">
        <v>189</v>
      </c>
      <c r="P13" s="41"/>
      <c r="Q13" s="138" t="s">
        <v>189</v>
      </c>
      <c r="R13" s="41">
        <f>IF(Q30&lt;=B28,(SUM(E6:O6)-SUM(F25:P25))*B30,0)</f>
        <v>0</v>
      </c>
      <c r="S13" s="138" t="s">
        <v>189</v>
      </c>
      <c r="T13" s="41">
        <f>IF(S30&lt;=B28,(SUM(E6:Q6)-SUM(F25:R25))*B30,0)</f>
        <v>0</v>
      </c>
      <c r="U13" s="138" t="s">
        <v>189</v>
      </c>
      <c r="V13" s="41">
        <f>IF(U30&lt;=B28,(SUM(E6:S6)-SUM(F25:T25))*B30,0)</f>
        <v>0</v>
      </c>
      <c r="W13" s="138" t="s">
        <v>189</v>
      </c>
      <c r="X13" s="41">
        <f>IF(W30&lt;=B28,(SUM(E6:U6)-SUM(F25:V25))*B30,0)</f>
        <v>0</v>
      </c>
      <c r="Y13" s="138" t="s">
        <v>189</v>
      </c>
      <c r="Z13" s="41">
        <f>IF(Y30&lt;=B28,(SUM(E6:W6)-SUM(F25:X25))*B30,0)</f>
        <v>0</v>
      </c>
      <c r="AA13" s="138" t="s">
        <v>189</v>
      </c>
      <c r="AB13" s="41">
        <f>IF(AA30&lt;=B28,(SUM(E6:Y6)-SUM(F25:Z25))*B30,0)</f>
        <v>0</v>
      </c>
      <c r="AC13" s="138" t="s">
        <v>189</v>
      </c>
      <c r="AD13" s="41">
        <f>IF(AC30&lt;=B28,(SUM(E6:AA6)-SUM(F25:AB25))*B30,0)</f>
        <v>0</v>
      </c>
      <c r="AE13" s="138" t="s">
        <v>189</v>
      </c>
      <c r="AF13" s="41">
        <f>IF(AE30&lt;=B28,(SUM(E6:AC6)-SUM(F25:AD25))*B30,0)</f>
        <v>0</v>
      </c>
      <c r="AG13" s="138" t="s">
        <v>189</v>
      </c>
      <c r="AH13" s="41">
        <f>IF(AG30&lt;=B28,(SUM(E6:AE6)-SUM(F25:AF25))*B30,0)</f>
        <v>0</v>
      </c>
      <c r="AI13" s="138" t="s">
        <v>189</v>
      </c>
      <c r="AJ13" s="41">
        <f>IF(AI30&lt;=B28,(SUM(E6:AG6)-SUM(F25:AH25))*B30,0)</f>
        <v>0</v>
      </c>
      <c r="AK13" s="138" t="s">
        <v>189</v>
      </c>
      <c r="AL13" s="41">
        <f>IF(AK30&lt;=B28,(SUM(E6:AI6)-SUM(F25:AJ25))*B30,0)</f>
        <v>0</v>
      </c>
      <c r="AM13" s="138" t="s">
        <v>189</v>
      </c>
      <c r="AN13" s="41">
        <f>IF(AM30&lt;=B28,(SUM(E6:AK6)-SUM(F25:AL25))*B30,0)</f>
        <v>0</v>
      </c>
      <c r="AO13" s="138" t="s">
        <v>189</v>
      </c>
      <c r="AP13" s="41">
        <f>IF(AO30&lt;=B28,(SUM(E6:AM6)-SUM(F25:AN25))*B30,0)</f>
        <v>0</v>
      </c>
      <c r="AQ13" s="138" t="s">
        <v>189</v>
      </c>
      <c r="AR13" s="41">
        <f>IF(AQ30&lt;=B28,(SUM(E6:AO6)-SUM(F25:AP25))*B30,0)</f>
        <v>0</v>
      </c>
      <c r="AS13" s="138" t="s">
        <v>189</v>
      </c>
      <c r="AT13" s="41">
        <f>IF(AS30&lt;=B28,(SUM(E6:AQ6)-SUM(F25:AR25))*B30,0)</f>
        <v>0</v>
      </c>
      <c r="AU13" s="138" t="s">
        <v>189</v>
      </c>
      <c r="AV13" s="41">
        <f>IF(AU30&lt;=B28,(SUM(E6:AS6)-SUM(F25:AT25))*B30,0)</f>
        <v>0</v>
      </c>
      <c r="AW13" s="138" t="s">
        <v>189</v>
      </c>
      <c r="AX13" s="41">
        <f>IF(AW30&lt;=B28,(SUM(E6:AU6)-SUM(F25:AV25))*B30,0)</f>
        <v>0</v>
      </c>
      <c r="AY13" s="138" t="s">
        <v>189</v>
      </c>
      <c r="AZ13" s="41">
        <f>IF(AY30&lt;=B28,(SUM(E6:AW6)-SUM(F25:AX25))*B30,0)</f>
        <v>0</v>
      </c>
      <c r="BA13" s="138" t="s">
        <v>189</v>
      </c>
      <c r="BB13" s="41">
        <f>IF(BA30&lt;=B28,(SUM(E6:AY6)-SUM(F25:AZ25))*B30,0)</f>
        <v>0</v>
      </c>
      <c r="BC13" s="138" t="s">
        <v>189</v>
      </c>
      <c r="BD13" s="41">
        <f>IF(BC30&lt;=B28,(SUM(E6:BA6)-SUM(F25:BB25))*B30,0)</f>
        <v>0</v>
      </c>
      <c r="BE13" s="138" t="s">
        <v>189</v>
      </c>
      <c r="BF13" s="41">
        <f>IF(BE30&lt;=B28,(SUM(E6:BC6)-SUM(F25:BD25))*B30,0)</f>
        <v>0</v>
      </c>
      <c r="BG13" s="138" t="s">
        <v>189</v>
      </c>
      <c r="BH13" s="41">
        <f>IF(BG30&lt;=B28,(SUM(E6:BE6)-SUM(F25:BF25))*B30,0)</f>
        <v>0</v>
      </c>
      <c r="BI13" s="138" t="s">
        <v>189</v>
      </c>
      <c r="BJ13" s="41">
        <f>IF(BI30&lt;=B28,(SUM(E6:BG6)-SUM(F25:BH25))*B30,0)</f>
        <v>0</v>
      </c>
      <c r="BK13" s="138" t="s">
        <v>189</v>
      </c>
      <c r="BL13" s="41">
        <f>IF(BK30&lt;=B28,(SUM(E6:BI6)-SUM(F25:BJ25))*B30,0)</f>
        <v>0</v>
      </c>
      <c r="BM13" s="138" t="s">
        <v>189</v>
      </c>
      <c r="BN13" s="41">
        <f>IF(BM30&lt;=B28,(SUM(E6:BK6)-SUM(F25:BL25))*B30,0)</f>
        <v>0</v>
      </c>
    </row>
    <row r="14" s="16" customFormat="1" ht="16.5" spans="1:66">
      <c r="A14" s="36" t="s">
        <v>208</v>
      </c>
      <c r="B14" s="37" t="s">
        <v>209</v>
      </c>
      <c r="C14" s="138" t="s">
        <v>189</v>
      </c>
      <c r="D14" s="34">
        <f t="shared" si="21"/>
        <v>6244.95</v>
      </c>
      <c r="E14" s="138" t="s">
        <v>189</v>
      </c>
      <c r="F14" s="38"/>
      <c r="G14" s="138" t="s">
        <v>189</v>
      </c>
      <c r="H14" s="38"/>
      <c r="I14" s="138" t="s">
        <v>189</v>
      </c>
      <c r="J14" s="38"/>
      <c r="K14" s="138" t="s">
        <v>189</v>
      </c>
      <c r="L14" s="38">
        <v>1814.08</v>
      </c>
      <c r="M14" s="138" t="s">
        <v>189</v>
      </c>
      <c r="N14" s="38">
        <v>4430.87</v>
      </c>
      <c r="O14" s="138" t="s">
        <v>189</v>
      </c>
      <c r="P14" s="38"/>
      <c r="Q14" s="138" t="s">
        <v>189</v>
      </c>
      <c r="R14" s="38"/>
      <c r="S14" s="138" t="s">
        <v>189</v>
      </c>
      <c r="T14" s="38"/>
      <c r="U14" s="138" t="s">
        <v>189</v>
      </c>
      <c r="V14" s="38"/>
      <c r="W14" s="138" t="s">
        <v>189</v>
      </c>
      <c r="X14" s="38"/>
      <c r="Y14" s="138" t="s">
        <v>189</v>
      </c>
      <c r="Z14" s="38"/>
      <c r="AA14" s="138" t="s">
        <v>189</v>
      </c>
      <c r="AB14" s="38"/>
      <c r="AC14" s="138" t="s">
        <v>189</v>
      </c>
      <c r="AD14" s="38"/>
      <c r="AE14" s="138" t="s">
        <v>189</v>
      </c>
      <c r="AF14" s="38"/>
      <c r="AG14" s="138" t="s">
        <v>189</v>
      </c>
      <c r="AH14" s="38"/>
      <c r="AI14" s="138" t="s">
        <v>189</v>
      </c>
      <c r="AJ14" s="38"/>
      <c r="AK14" s="138" t="s">
        <v>189</v>
      </c>
      <c r="AL14" s="38"/>
      <c r="AM14" s="138" t="s">
        <v>189</v>
      </c>
      <c r="AN14" s="38"/>
      <c r="AO14" s="138" t="s">
        <v>189</v>
      </c>
      <c r="AP14" s="38"/>
      <c r="AQ14" s="138" t="s">
        <v>189</v>
      </c>
      <c r="AR14" s="38"/>
      <c r="AS14" s="138" t="s">
        <v>189</v>
      </c>
      <c r="AT14" s="38"/>
      <c r="AU14" s="138" t="s">
        <v>189</v>
      </c>
      <c r="AV14" s="38"/>
      <c r="AW14" s="138" t="s">
        <v>189</v>
      </c>
      <c r="AX14" s="38"/>
      <c r="AY14" s="138" t="s">
        <v>189</v>
      </c>
      <c r="AZ14" s="38"/>
      <c r="BA14" s="138" t="s">
        <v>189</v>
      </c>
      <c r="BB14" s="38"/>
      <c r="BC14" s="138" t="s">
        <v>189</v>
      </c>
      <c r="BD14" s="38"/>
      <c r="BE14" s="138" t="s">
        <v>189</v>
      </c>
      <c r="BF14" s="38"/>
      <c r="BG14" s="138" t="s">
        <v>189</v>
      </c>
      <c r="BH14" s="38"/>
      <c r="BI14" s="138" t="s">
        <v>189</v>
      </c>
      <c r="BJ14" s="38"/>
      <c r="BK14" s="138" t="s">
        <v>189</v>
      </c>
      <c r="BL14" s="38"/>
      <c r="BM14" s="138" t="s">
        <v>189</v>
      </c>
      <c r="BN14" s="38"/>
    </row>
    <row r="15" s="16" customFormat="1" ht="16.5" spans="1:66">
      <c r="A15" s="36" t="s">
        <v>210</v>
      </c>
      <c r="B15" s="37" t="s">
        <v>211</v>
      </c>
      <c r="C15" s="138" t="s">
        <v>189</v>
      </c>
      <c r="D15" s="34">
        <f t="shared" si="21"/>
        <v>0</v>
      </c>
      <c r="E15" s="138" t="s">
        <v>189</v>
      </c>
      <c r="F15" s="38"/>
      <c r="G15" s="138" t="s">
        <v>189</v>
      </c>
      <c r="H15" s="38"/>
      <c r="I15" s="138" t="s">
        <v>189</v>
      </c>
      <c r="J15" s="38"/>
      <c r="K15" s="138" t="s">
        <v>189</v>
      </c>
      <c r="L15" s="38"/>
      <c r="M15" s="138" t="s">
        <v>189</v>
      </c>
      <c r="N15" s="38"/>
      <c r="O15" s="138" t="s">
        <v>189</v>
      </c>
      <c r="P15" s="38"/>
      <c r="Q15" s="138" t="s">
        <v>189</v>
      </c>
      <c r="R15" s="38"/>
      <c r="S15" s="138" t="s">
        <v>189</v>
      </c>
      <c r="T15" s="38"/>
      <c r="U15" s="138" t="s">
        <v>189</v>
      </c>
      <c r="V15" s="38"/>
      <c r="W15" s="138" t="s">
        <v>189</v>
      </c>
      <c r="X15" s="38"/>
      <c r="Y15" s="138" t="s">
        <v>189</v>
      </c>
      <c r="Z15" s="38"/>
      <c r="AA15" s="138" t="s">
        <v>189</v>
      </c>
      <c r="AB15" s="38"/>
      <c r="AC15" s="138" t="s">
        <v>189</v>
      </c>
      <c r="AD15" s="38"/>
      <c r="AE15" s="138" t="s">
        <v>189</v>
      </c>
      <c r="AF15" s="38"/>
      <c r="AG15" s="138" t="s">
        <v>189</v>
      </c>
      <c r="AH15" s="38"/>
      <c r="AI15" s="138" t="s">
        <v>189</v>
      </c>
      <c r="AJ15" s="38"/>
      <c r="AK15" s="138" t="s">
        <v>189</v>
      </c>
      <c r="AL15" s="38"/>
      <c r="AM15" s="138" t="s">
        <v>189</v>
      </c>
      <c r="AN15" s="38"/>
      <c r="AO15" s="138" t="s">
        <v>189</v>
      </c>
      <c r="AP15" s="38"/>
      <c r="AQ15" s="138" t="s">
        <v>189</v>
      </c>
      <c r="AR15" s="38"/>
      <c r="AS15" s="138" t="s">
        <v>189</v>
      </c>
      <c r="AT15" s="38"/>
      <c r="AU15" s="138" t="s">
        <v>189</v>
      </c>
      <c r="AV15" s="38"/>
      <c r="AW15" s="138" t="s">
        <v>189</v>
      </c>
      <c r="AX15" s="38"/>
      <c r="AY15" s="138" t="s">
        <v>189</v>
      </c>
      <c r="AZ15" s="38"/>
      <c r="BA15" s="138" t="s">
        <v>189</v>
      </c>
      <c r="BB15" s="38"/>
      <c r="BC15" s="138" t="s">
        <v>189</v>
      </c>
      <c r="BD15" s="38"/>
      <c r="BE15" s="138" t="s">
        <v>189</v>
      </c>
      <c r="BF15" s="38"/>
      <c r="BG15" s="138" t="s">
        <v>189</v>
      </c>
      <c r="BH15" s="38"/>
      <c r="BI15" s="138" t="s">
        <v>189</v>
      </c>
      <c r="BJ15" s="38"/>
      <c r="BK15" s="138" t="s">
        <v>189</v>
      </c>
      <c r="BL15" s="38"/>
      <c r="BM15" s="138" t="s">
        <v>189</v>
      </c>
      <c r="BN15" s="38"/>
    </row>
    <row r="16" s="19" customFormat="1" ht="16.5" spans="1:66">
      <c r="A16" s="36" t="s">
        <v>212</v>
      </c>
      <c r="B16" s="37" t="s">
        <v>213</v>
      </c>
      <c r="C16" s="34">
        <f t="shared" ref="C16:C19" si="31">SUM(E16:BN16)</f>
        <v>1028884.24</v>
      </c>
      <c r="D16" s="138" t="s">
        <v>189</v>
      </c>
      <c r="E16" s="41">
        <f t="shared" ref="E16:I16" si="32">E17+E18+E19</f>
        <v>0</v>
      </c>
      <c r="F16" s="138" t="s">
        <v>189</v>
      </c>
      <c r="G16" s="41">
        <f t="shared" si="32"/>
        <v>0</v>
      </c>
      <c r="H16" s="138" t="s">
        <v>189</v>
      </c>
      <c r="I16" s="41">
        <f t="shared" si="32"/>
        <v>0</v>
      </c>
      <c r="J16" s="138" t="s">
        <v>189</v>
      </c>
      <c r="K16" s="41">
        <f t="shared" ref="K16:O16" si="33">K17+K18+K19</f>
        <v>0</v>
      </c>
      <c r="L16" s="138" t="s">
        <v>189</v>
      </c>
      <c r="M16" s="41">
        <f t="shared" si="33"/>
        <v>0</v>
      </c>
      <c r="N16" s="138" t="s">
        <v>189</v>
      </c>
      <c r="O16" s="41">
        <f t="shared" si="33"/>
        <v>43219.3</v>
      </c>
      <c r="P16" s="138" t="s">
        <v>189</v>
      </c>
      <c r="Q16" s="41">
        <f t="shared" ref="Q16:U16" si="34">Q17+Q18+Q19</f>
        <v>43404.27</v>
      </c>
      <c r="R16" s="138" t="s">
        <v>189</v>
      </c>
      <c r="S16" s="41">
        <f t="shared" si="34"/>
        <v>43443.46</v>
      </c>
      <c r="T16" s="138" t="s">
        <v>189</v>
      </c>
      <c r="U16" s="41">
        <f t="shared" si="34"/>
        <v>43533.03</v>
      </c>
      <c r="V16" s="138" t="s">
        <v>189</v>
      </c>
      <c r="W16" s="41">
        <f t="shared" ref="W16:AA16" si="35">W17+W18+W19</f>
        <v>43571.77</v>
      </c>
      <c r="X16" s="138" t="s">
        <v>189</v>
      </c>
      <c r="Y16" s="41">
        <f t="shared" si="35"/>
        <v>43609.84</v>
      </c>
      <c r="Z16" s="138" t="s">
        <v>189</v>
      </c>
      <c r="AA16" s="41">
        <f t="shared" si="35"/>
        <v>43703.1</v>
      </c>
      <c r="AB16" s="138" t="s">
        <v>189</v>
      </c>
      <c r="AC16" s="41">
        <f t="shared" ref="AC16:AG16" si="36">AC17+AC18+AC19</f>
        <v>33396.95</v>
      </c>
      <c r="AD16" s="138" t="s">
        <v>189</v>
      </c>
      <c r="AE16" s="41">
        <f t="shared" si="36"/>
        <v>33404.11</v>
      </c>
      <c r="AF16" s="138" t="s">
        <v>189</v>
      </c>
      <c r="AG16" s="41">
        <f t="shared" si="36"/>
        <v>33468.05</v>
      </c>
      <c r="AH16" s="138" t="s">
        <v>189</v>
      </c>
      <c r="AI16" s="41">
        <f t="shared" ref="AI16:AM16" si="37">AI17+AI18+AI19</f>
        <v>33474.99</v>
      </c>
      <c r="AJ16" s="138" t="s">
        <v>189</v>
      </c>
      <c r="AK16" s="41">
        <f t="shared" si="37"/>
        <v>33481.93</v>
      </c>
      <c r="AL16" s="138" t="s">
        <v>189</v>
      </c>
      <c r="AM16" s="41">
        <f t="shared" si="37"/>
        <v>33547.59</v>
      </c>
      <c r="AN16" s="138" t="s">
        <v>189</v>
      </c>
      <c r="AO16" s="41">
        <f t="shared" ref="AO16:AS16" si="38">AO17+AO18+AO19</f>
        <v>33554.76</v>
      </c>
      <c r="AP16" s="138" t="s">
        <v>189</v>
      </c>
      <c r="AQ16" s="41">
        <f t="shared" si="38"/>
        <v>33561.92</v>
      </c>
      <c r="AR16" s="138" t="s">
        <v>189</v>
      </c>
      <c r="AS16" s="41">
        <f t="shared" si="38"/>
        <v>33631.46</v>
      </c>
      <c r="AT16" s="138" t="s">
        <v>189</v>
      </c>
      <c r="AU16" s="41">
        <f t="shared" ref="AU16:AY16" si="39">AU17+AU18+AU19</f>
        <v>33638.62</v>
      </c>
      <c r="AV16" s="138" t="s">
        <v>189</v>
      </c>
      <c r="AW16" s="41">
        <f t="shared" si="39"/>
        <v>33644.68</v>
      </c>
      <c r="AX16" s="138" t="s">
        <v>189</v>
      </c>
      <c r="AY16" s="41">
        <f t="shared" si="39"/>
        <v>33717.57</v>
      </c>
      <c r="AZ16" s="138" t="s">
        <v>189</v>
      </c>
      <c r="BA16" s="41">
        <f t="shared" ref="BA16:BE16" si="40">BA17+BA18+BA19</f>
        <v>33724.27</v>
      </c>
      <c r="BB16" s="138" t="s">
        <v>189</v>
      </c>
      <c r="BC16" s="41">
        <f t="shared" si="40"/>
        <v>32476.1</v>
      </c>
      <c r="BD16" s="138" t="s">
        <v>189</v>
      </c>
      <c r="BE16" s="41">
        <f t="shared" si="40"/>
        <v>32552.28</v>
      </c>
      <c r="BF16" s="138" t="s">
        <v>189</v>
      </c>
      <c r="BG16" s="41">
        <f t="shared" ref="BG16:BK16" si="41">BG17+BG18+BG19</f>
        <v>32558.33</v>
      </c>
      <c r="BH16" s="138" t="s">
        <v>189</v>
      </c>
      <c r="BI16" s="41">
        <f t="shared" si="41"/>
        <v>32405.84</v>
      </c>
      <c r="BJ16" s="138" t="s">
        <v>189</v>
      </c>
      <c r="BK16" s="41">
        <f t="shared" si="41"/>
        <v>32325.82</v>
      </c>
      <c r="BL16" s="138" t="s">
        <v>189</v>
      </c>
      <c r="BM16" s="41">
        <f>BM17+BM18+BM19</f>
        <v>125834.2</v>
      </c>
      <c r="BN16" s="138" t="s">
        <v>189</v>
      </c>
    </row>
    <row r="17" s="16" customFormat="1" ht="16.5" spans="1:66">
      <c r="A17" s="36" t="s">
        <v>214</v>
      </c>
      <c r="B17" s="37" t="s">
        <v>215</v>
      </c>
      <c r="C17" s="34">
        <f t="shared" si="31"/>
        <v>575661.07</v>
      </c>
      <c r="D17" s="138" t="s">
        <v>189</v>
      </c>
      <c r="E17" s="38"/>
      <c r="F17" s="138" t="s">
        <v>189</v>
      </c>
      <c r="G17" s="38"/>
      <c r="H17" s="138" t="s">
        <v>189</v>
      </c>
      <c r="I17" s="38"/>
      <c r="J17" s="138" t="s">
        <v>189</v>
      </c>
      <c r="K17" s="38"/>
      <c r="L17" s="138" t="s">
        <v>189</v>
      </c>
      <c r="M17" s="38"/>
      <c r="N17" s="138" t="s">
        <v>189</v>
      </c>
      <c r="O17" s="42">
        <v>24108.64</v>
      </c>
      <c r="P17" s="140" t="s">
        <v>189</v>
      </c>
      <c r="Q17" s="42">
        <v>24146.48</v>
      </c>
      <c r="R17" s="140" t="s">
        <v>189</v>
      </c>
      <c r="S17" s="42">
        <v>24185.67</v>
      </c>
      <c r="T17" s="140" t="s">
        <v>189</v>
      </c>
      <c r="U17" s="42">
        <v>23760.96</v>
      </c>
      <c r="V17" s="140" t="s">
        <v>189</v>
      </c>
      <c r="W17" s="42">
        <v>23342.42</v>
      </c>
      <c r="X17" s="140" t="s">
        <v>189</v>
      </c>
      <c r="Y17" s="42">
        <v>22917.71</v>
      </c>
      <c r="Z17" s="140" t="s">
        <v>189</v>
      </c>
      <c r="AA17" s="42">
        <v>22494.12</v>
      </c>
      <c r="AB17" s="140" t="s">
        <v>189</v>
      </c>
      <c r="AC17" s="42">
        <v>22074.69</v>
      </c>
      <c r="AD17" s="140" t="s">
        <v>189</v>
      </c>
      <c r="AE17" s="42">
        <v>21619.07</v>
      </c>
      <c r="AF17" s="140" t="s">
        <v>189</v>
      </c>
      <c r="AG17" s="42">
        <v>21166.65</v>
      </c>
      <c r="AH17" s="140" t="s">
        <v>189</v>
      </c>
      <c r="AI17" s="42">
        <v>20947.97</v>
      </c>
      <c r="AJ17" s="140" t="s">
        <v>189</v>
      </c>
      <c r="AK17" s="42">
        <v>20723.91</v>
      </c>
      <c r="AL17" s="140" t="s">
        <v>189</v>
      </c>
      <c r="AM17" s="42">
        <v>20504.34</v>
      </c>
      <c r="AN17" s="140" t="s">
        <v>189</v>
      </c>
      <c r="AO17" s="42">
        <v>20285.89</v>
      </c>
      <c r="AP17" s="140" t="s">
        <v>189</v>
      </c>
      <c r="AQ17" s="42">
        <v>20067.43</v>
      </c>
      <c r="AR17" s="140" t="s">
        <v>189</v>
      </c>
      <c r="AS17" s="42">
        <v>19843.38</v>
      </c>
      <c r="AT17" s="140" t="s">
        <v>189</v>
      </c>
      <c r="AU17" s="42">
        <v>19624.92</v>
      </c>
      <c r="AV17" s="140" t="s">
        <v>189</v>
      </c>
      <c r="AW17" s="42">
        <v>19405.36</v>
      </c>
      <c r="AX17" s="140" t="s">
        <v>189</v>
      </c>
      <c r="AY17" s="42">
        <v>19186.9</v>
      </c>
      <c r="AZ17" s="140" t="s">
        <v>189</v>
      </c>
      <c r="BA17" s="42">
        <v>18962.61</v>
      </c>
      <c r="BB17" s="140" t="s">
        <v>189</v>
      </c>
      <c r="BC17" s="42">
        <v>17488.82</v>
      </c>
      <c r="BD17" s="140" t="s">
        <v>189</v>
      </c>
      <c r="BE17" s="42">
        <v>17270.37</v>
      </c>
      <c r="BF17" s="140" t="s">
        <v>189</v>
      </c>
      <c r="BG17" s="42">
        <v>17045.43</v>
      </c>
      <c r="BH17" s="140" t="s">
        <v>189</v>
      </c>
      <c r="BI17" s="42">
        <v>16667.32</v>
      </c>
      <c r="BJ17" s="140" t="s">
        <v>189</v>
      </c>
      <c r="BK17" s="42">
        <v>16288.25</v>
      </c>
      <c r="BL17" s="140" t="s">
        <v>189</v>
      </c>
      <c r="BM17" s="42">
        <v>61531.76</v>
      </c>
      <c r="BN17" s="138" t="s">
        <v>189</v>
      </c>
    </row>
    <row r="18" s="16" customFormat="1" ht="16.5" spans="1:66">
      <c r="A18" s="36" t="s">
        <v>216</v>
      </c>
      <c r="B18" s="37" t="s">
        <v>217</v>
      </c>
      <c r="C18" s="34">
        <f t="shared" si="31"/>
        <v>453223.17</v>
      </c>
      <c r="D18" s="138" t="s">
        <v>189</v>
      </c>
      <c r="E18" s="38"/>
      <c r="F18" s="138" t="s">
        <v>189</v>
      </c>
      <c r="G18" s="38"/>
      <c r="H18" s="138" t="s">
        <v>189</v>
      </c>
      <c r="I18" s="38"/>
      <c r="J18" s="138" t="s">
        <v>189</v>
      </c>
      <c r="K18" s="38"/>
      <c r="L18" s="138" t="s">
        <v>189</v>
      </c>
      <c r="M18" s="38"/>
      <c r="N18" s="138" t="s">
        <v>189</v>
      </c>
      <c r="O18" s="42">
        <v>19110.66</v>
      </c>
      <c r="P18" s="140" t="s">
        <v>189</v>
      </c>
      <c r="Q18" s="42">
        <v>19257.79</v>
      </c>
      <c r="R18" s="140" t="s">
        <v>189</v>
      </c>
      <c r="S18" s="42">
        <v>19257.79</v>
      </c>
      <c r="T18" s="140" t="s">
        <v>189</v>
      </c>
      <c r="U18" s="42">
        <v>19772.07</v>
      </c>
      <c r="V18" s="140" t="s">
        <v>189</v>
      </c>
      <c r="W18" s="42">
        <v>20229.35</v>
      </c>
      <c r="X18" s="140" t="s">
        <v>189</v>
      </c>
      <c r="Y18" s="42">
        <v>20692.13</v>
      </c>
      <c r="Z18" s="140" t="s">
        <v>189</v>
      </c>
      <c r="AA18" s="42">
        <v>21208.98</v>
      </c>
      <c r="AB18" s="140" t="s">
        <v>189</v>
      </c>
      <c r="AC18" s="42">
        <v>11322.26</v>
      </c>
      <c r="AD18" s="140" t="s">
        <v>189</v>
      </c>
      <c r="AE18" s="42">
        <v>11785.04</v>
      </c>
      <c r="AF18" s="140" t="s">
        <v>189</v>
      </c>
      <c r="AG18" s="42">
        <v>12301.4</v>
      </c>
      <c r="AH18" s="140" t="s">
        <v>189</v>
      </c>
      <c r="AI18" s="42">
        <v>12527.02</v>
      </c>
      <c r="AJ18" s="140" t="s">
        <v>189</v>
      </c>
      <c r="AK18" s="42">
        <v>12758.02</v>
      </c>
      <c r="AL18" s="140" t="s">
        <v>189</v>
      </c>
      <c r="AM18" s="42">
        <v>13043.25</v>
      </c>
      <c r="AN18" s="140" t="s">
        <v>189</v>
      </c>
      <c r="AO18" s="42">
        <v>13268.87</v>
      </c>
      <c r="AP18" s="140" t="s">
        <v>189</v>
      </c>
      <c r="AQ18" s="42">
        <v>13494.49</v>
      </c>
      <c r="AR18" s="140" t="s">
        <v>189</v>
      </c>
      <c r="AS18" s="42">
        <v>13788.08</v>
      </c>
      <c r="AT18" s="140" t="s">
        <v>189</v>
      </c>
      <c r="AU18" s="42">
        <v>14013.7</v>
      </c>
      <c r="AV18" s="140" t="s">
        <v>189</v>
      </c>
      <c r="AW18" s="42">
        <v>14239.32</v>
      </c>
      <c r="AX18" s="140" t="s">
        <v>189</v>
      </c>
      <c r="AY18" s="42">
        <v>14530.67</v>
      </c>
      <c r="AZ18" s="140" t="s">
        <v>189</v>
      </c>
      <c r="BA18" s="42">
        <v>14761.66</v>
      </c>
      <c r="BB18" s="140" t="s">
        <v>189</v>
      </c>
      <c r="BC18" s="42">
        <v>14987.28</v>
      </c>
      <c r="BD18" s="140" t="s">
        <v>189</v>
      </c>
      <c r="BE18" s="42">
        <v>15281.91</v>
      </c>
      <c r="BF18" s="140" t="s">
        <v>189</v>
      </c>
      <c r="BG18" s="42">
        <v>15512.9</v>
      </c>
      <c r="BH18" s="140" t="s">
        <v>189</v>
      </c>
      <c r="BI18" s="42">
        <v>15738.52</v>
      </c>
      <c r="BJ18" s="140" t="s">
        <v>189</v>
      </c>
      <c r="BK18" s="42">
        <v>16037.57</v>
      </c>
      <c r="BL18" s="140" t="s">
        <v>189</v>
      </c>
      <c r="BM18" s="42">
        <v>64302.44</v>
      </c>
      <c r="BN18" s="138" t="s">
        <v>189</v>
      </c>
    </row>
    <row r="19" s="15" customFormat="1" ht="16.5" spans="1:66">
      <c r="A19" s="36" t="s">
        <v>218</v>
      </c>
      <c r="B19" s="37" t="s">
        <v>219</v>
      </c>
      <c r="C19" s="34">
        <f t="shared" si="31"/>
        <v>0</v>
      </c>
      <c r="D19" s="138" t="s">
        <v>189</v>
      </c>
      <c r="E19" s="38"/>
      <c r="F19" s="138" t="s">
        <v>189</v>
      </c>
      <c r="G19" s="38"/>
      <c r="H19" s="138" t="s">
        <v>189</v>
      </c>
      <c r="I19" s="38"/>
      <c r="J19" s="138" t="s">
        <v>189</v>
      </c>
      <c r="K19" s="38"/>
      <c r="L19" s="138" t="s">
        <v>189</v>
      </c>
      <c r="M19" s="38"/>
      <c r="N19" s="138" t="s">
        <v>189</v>
      </c>
      <c r="O19" s="38"/>
      <c r="P19" s="138" t="s">
        <v>189</v>
      </c>
      <c r="Q19" s="38"/>
      <c r="R19" s="138" t="s">
        <v>189</v>
      </c>
      <c r="S19" s="38"/>
      <c r="T19" s="138" t="s">
        <v>189</v>
      </c>
      <c r="U19" s="38"/>
      <c r="V19" s="138" t="s">
        <v>189</v>
      </c>
      <c r="W19" s="38"/>
      <c r="X19" s="138" t="s">
        <v>189</v>
      </c>
      <c r="Y19" s="38"/>
      <c r="Z19" s="138" t="s">
        <v>189</v>
      </c>
      <c r="AA19" s="38"/>
      <c r="AB19" s="138" t="s">
        <v>189</v>
      </c>
      <c r="AC19" s="38"/>
      <c r="AD19" s="138" t="s">
        <v>189</v>
      </c>
      <c r="AE19" s="38"/>
      <c r="AF19" s="138" t="s">
        <v>189</v>
      </c>
      <c r="AG19" s="38"/>
      <c r="AH19" s="138" t="s">
        <v>189</v>
      </c>
      <c r="AI19" s="38"/>
      <c r="AJ19" s="138" t="s">
        <v>189</v>
      </c>
      <c r="AK19" s="38"/>
      <c r="AL19" s="138" t="s">
        <v>189</v>
      </c>
      <c r="AM19" s="38"/>
      <c r="AN19" s="138" t="s">
        <v>189</v>
      </c>
      <c r="AO19" s="38"/>
      <c r="AP19" s="138" t="s">
        <v>189</v>
      </c>
      <c r="AQ19" s="38"/>
      <c r="AR19" s="138" t="s">
        <v>189</v>
      </c>
      <c r="AS19" s="38"/>
      <c r="AT19" s="138" t="s">
        <v>189</v>
      </c>
      <c r="AU19" s="38"/>
      <c r="AV19" s="138" t="s">
        <v>189</v>
      </c>
      <c r="AW19" s="38"/>
      <c r="AX19" s="138" t="s">
        <v>189</v>
      </c>
      <c r="AY19" s="38"/>
      <c r="AZ19" s="138" t="s">
        <v>189</v>
      </c>
      <c r="BA19" s="38"/>
      <c r="BB19" s="138" t="s">
        <v>189</v>
      </c>
      <c r="BC19" s="38"/>
      <c r="BD19" s="138" t="s">
        <v>189</v>
      </c>
      <c r="BE19" s="38"/>
      <c r="BF19" s="138" t="s">
        <v>189</v>
      </c>
      <c r="BG19" s="38"/>
      <c r="BH19" s="138" t="s">
        <v>189</v>
      </c>
      <c r="BI19" s="38"/>
      <c r="BJ19" s="138" t="s">
        <v>189</v>
      </c>
      <c r="BK19" s="38"/>
      <c r="BL19" s="138" t="s">
        <v>189</v>
      </c>
      <c r="BM19" s="38"/>
      <c r="BN19" s="138" t="s">
        <v>189</v>
      </c>
    </row>
    <row r="20" s="19" customFormat="1" ht="16.5" spans="1:66">
      <c r="A20" s="36" t="s">
        <v>220</v>
      </c>
      <c r="B20" s="37" t="s">
        <v>221</v>
      </c>
      <c r="C20" s="138" t="s">
        <v>189</v>
      </c>
      <c r="D20" s="34">
        <f>SUM(E20:BN20)</f>
        <v>671443.24</v>
      </c>
      <c r="E20" s="138" t="s">
        <v>189</v>
      </c>
      <c r="F20" s="41">
        <f t="shared" ref="F20:J20" si="42">F21+F22+F23+F24</f>
        <v>0</v>
      </c>
      <c r="G20" s="138" t="s">
        <v>189</v>
      </c>
      <c r="H20" s="41">
        <f t="shared" si="42"/>
        <v>0</v>
      </c>
      <c r="I20" s="138" t="s">
        <v>189</v>
      </c>
      <c r="J20" s="41">
        <f t="shared" si="42"/>
        <v>0</v>
      </c>
      <c r="K20" s="138" t="s">
        <v>189</v>
      </c>
      <c r="L20" s="41">
        <f t="shared" ref="L20:P20" si="43">L21+L22+L23+L24</f>
        <v>0</v>
      </c>
      <c r="M20" s="138" t="s">
        <v>189</v>
      </c>
      <c r="N20" s="41">
        <f t="shared" si="43"/>
        <v>0</v>
      </c>
      <c r="O20" s="138" t="s">
        <v>189</v>
      </c>
      <c r="P20" s="41">
        <f t="shared" si="43"/>
        <v>24673.54</v>
      </c>
      <c r="Q20" s="138" t="s">
        <v>189</v>
      </c>
      <c r="R20" s="41">
        <f t="shared" ref="R20:V20" si="44">R21+R22+R23+R24</f>
        <v>24766.24</v>
      </c>
      <c r="S20" s="138" t="s">
        <v>189</v>
      </c>
      <c r="T20" s="41">
        <f t="shared" si="44"/>
        <v>24823.5</v>
      </c>
      <c r="U20" s="138" t="s">
        <v>189</v>
      </c>
      <c r="V20" s="41">
        <f t="shared" si="44"/>
        <v>24882.91</v>
      </c>
      <c r="W20" s="138" t="s">
        <v>189</v>
      </c>
      <c r="X20" s="41">
        <f t="shared" ref="X20:AB20" si="45">X21+X22+X23+X24</f>
        <v>24930.22</v>
      </c>
      <c r="Y20" s="138" t="s">
        <v>189</v>
      </c>
      <c r="Z20" s="41">
        <f t="shared" si="45"/>
        <v>24976.72</v>
      </c>
      <c r="AA20" s="138" t="s">
        <v>189</v>
      </c>
      <c r="AB20" s="41">
        <f t="shared" si="45"/>
        <v>25037.99</v>
      </c>
      <c r="AC20" s="138" t="s">
        <v>189</v>
      </c>
      <c r="AD20" s="41">
        <f t="shared" ref="AD20:AH20" si="46">AD21+AD22+AD23+AD24</f>
        <v>22625.4</v>
      </c>
      <c r="AE20" s="138" t="s">
        <v>189</v>
      </c>
      <c r="AF20" s="41">
        <f t="shared" si="46"/>
        <v>22648.53</v>
      </c>
      <c r="AG20" s="138" t="s">
        <v>189</v>
      </c>
      <c r="AH20" s="41">
        <f t="shared" si="46"/>
        <v>22672.79</v>
      </c>
      <c r="AI20" s="138" t="s">
        <v>189</v>
      </c>
      <c r="AJ20" s="41">
        <f t="shared" ref="AJ20:AN20" si="47">AJ21+AJ22+AJ23+AJ24</f>
        <v>22695.68</v>
      </c>
      <c r="AK20" s="138" t="s">
        <v>189</v>
      </c>
      <c r="AL20" s="41">
        <f t="shared" si="47"/>
        <v>22718.56</v>
      </c>
      <c r="AM20" s="138" t="s">
        <v>189</v>
      </c>
      <c r="AN20" s="41">
        <f t="shared" si="47"/>
        <v>22741.65</v>
      </c>
      <c r="AO20" s="138" t="s">
        <v>189</v>
      </c>
      <c r="AP20" s="41">
        <f t="shared" ref="AP20:AT20" si="48">AP21+AP22+AP23+AP24</f>
        <v>22764.78</v>
      </c>
      <c r="AQ20" s="138" t="s">
        <v>189</v>
      </c>
      <c r="AR20" s="41">
        <f t="shared" si="48"/>
        <v>22787.92</v>
      </c>
      <c r="AS20" s="138" t="s">
        <v>189</v>
      </c>
      <c r="AT20" s="41">
        <f t="shared" si="48"/>
        <v>22812.05</v>
      </c>
      <c r="AU20" s="138" t="s">
        <v>189</v>
      </c>
      <c r="AV20" s="41">
        <f t="shared" ref="AV20:AZ20" si="49">AV21+AV22+AV23+AV24</f>
        <v>22835.18</v>
      </c>
      <c r="AW20" s="138" t="s">
        <v>189</v>
      </c>
      <c r="AX20" s="41">
        <f t="shared" si="49"/>
        <v>22857.09</v>
      </c>
      <c r="AY20" s="138" t="s">
        <v>189</v>
      </c>
      <c r="AZ20" s="41">
        <f t="shared" si="49"/>
        <v>22881.53</v>
      </c>
      <c r="BA20" s="138" t="s">
        <v>189</v>
      </c>
      <c r="BB20" s="41">
        <f t="shared" ref="BB20:BF20" si="50">BB21+BB22+BB23+BB24</f>
        <v>22904.16</v>
      </c>
      <c r="BC20" s="138" t="s">
        <v>189</v>
      </c>
      <c r="BD20" s="41">
        <f t="shared" si="50"/>
        <v>22927.29</v>
      </c>
      <c r="BE20" s="138" t="s">
        <v>189</v>
      </c>
      <c r="BF20" s="41">
        <f t="shared" si="50"/>
        <v>22951.8</v>
      </c>
      <c r="BG20" s="138" t="s">
        <v>189</v>
      </c>
      <c r="BH20" s="41">
        <f t="shared" ref="BH20:BL20" si="51">BH21+BH22+BH23+BH24</f>
        <v>22973.71</v>
      </c>
      <c r="BI20" s="138" t="s">
        <v>189</v>
      </c>
      <c r="BJ20" s="41">
        <f t="shared" si="51"/>
        <v>22821.23</v>
      </c>
      <c r="BK20" s="138" t="s">
        <v>189</v>
      </c>
      <c r="BL20" s="41">
        <f t="shared" si="51"/>
        <v>22670.19</v>
      </c>
      <c r="BM20" s="138" t="s">
        <v>189</v>
      </c>
      <c r="BN20" s="41">
        <f>BN21+BN22+BN23+BN24</f>
        <v>87062.58</v>
      </c>
    </row>
    <row r="21" s="15" customFormat="1" ht="16.5" spans="1:66">
      <c r="A21" s="36" t="s">
        <v>222</v>
      </c>
      <c r="B21" s="37" t="s">
        <v>223</v>
      </c>
      <c r="C21" s="138" t="s">
        <v>189</v>
      </c>
      <c r="D21" s="34">
        <f t="shared" ref="D20:D26" si="52">SUM(E21:BN21)</f>
        <v>480564.42</v>
      </c>
      <c r="E21" s="138" t="s">
        <v>189</v>
      </c>
      <c r="F21" s="38"/>
      <c r="G21" s="138" t="s">
        <v>189</v>
      </c>
      <c r="H21" s="38"/>
      <c r="I21" s="138" t="s">
        <v>189</v>
      </c>
      <c r="J21" s="38"/>
      <c r="K21" s="138" t="s">
        <v>189</v>
      </c>
      <c r="L21" s="38"/>
      <c r="M21" s="138" t="s">
        <v>189</v>
      </c>
      <c r="N21" s="38"/>
      <c r="O21" s="138" t="s">
        <v>189</v>
      </c>
      <c r="P21" s="38">
        <v>15884.4</v>
      </c>
      <c r="Q21" s="138" t="s">
        <v>189</v>
      </c>
      <c r="R21" s="38">
        <v>16129.58</v>
      </c>
      <c r="S21" s="138" t="s">
        <v>189</v>
      </c>
      <c r="T21" s="38">
        <v>16339.33</v>
      </c>
      <c r="U21" s="138" t="s">
        <v>189</v>
      </c>
      <c r="V21" s="38">
        <v>16551.23</v>
      </c>
      <c r="W21" s="138" t="s">
        <v>189</v>
      </c>
      <c r="X21" s="38">
        <v>16751.03</v>
      </c>
      <c r="Y21" s="138" t="s">
        <v>189</v>
      </c>
      <c r="Z21" s="38">
        <v>16950.01</v>
      </c>
      <c r="AA21" s="138" t="s">
        <v>189</v>
      </c>
      <c r="AB21" s="38">
        <v>17163.77</v>
      </c>
      <c r="AC21" s="138" t="s">
        <v>189</v>
      </c>
      <c r="AD21" s="38">
        <v>14903.67</v>
      </c>
      <c r="AE21" s="138" t="s">
        <v>189</v>
      </c>
      <c r="AF21" s="38">
        <v>15079.29</v>
      </c>
      <c r="AG21" s="138" t="s">
        <v>189</v>
      </c>
      <c r="AH21" s="38">
        <v>15256.04</v>
      </c>
      <c r="AI21" s="138" t="s">
        <v>189</v>
      </c>
      <c r="AJ21" s="38">
        <v>15431.41</v>
      </c>
      <c r="AK21" s="138" t="s">
        <v>189</v>
      </c>
      <c r="AL21" s="38">
        <v>15606.78</v>
      </c>
      <c r="AM21" s="138" t="s">
        <v>189</v>
      </c>
      <c r="AN21" s="38">
        <v>15782.36</v>
      </c>
      <c r="AO21" s="138" t="s">
        <v>189</v>
      </c>
      <c r="AP21" s="38">
        <v>15957.98</v>
      </c>
      <c r="AQ21" s="138" t="s">
        <v>189</v>
      </c>
      <c r="AR21" s="38">
        <v>16133.6</v>
      </c>
      <c r="AS21" s="138" t="s">
        <v>189</v>
      </c>
      <c r="AT21" s="38">
        <v>16310.22</v>
      </c>
      <c r="AU21" s="138" t="s">
        <v>189</v>
      </c>
      <c r="AV21" s="38">
        <v>16485.84</v>
      </c>
      <c r="AW21" s="138" t="s">
        <v>189</v>
      </c>
      <c r="AX21" s="38">
        <v>16660.24</v>
      </c>
      <c r="AY21" s="138" t="s">
        <v>189</v>
      </c>
      <c r="AZ21" s="38">
        <v>16837.17</v>
      </c>
      <c r="BA21" s="138" t="s">
        <v>189</v>
      </c>
      <c r="BB21" s="38">
        <v>17012.28</v>
      </c>
      <c r="BC21" s="138" t="s">
        <v>189</v>
      </c>
      <c r="BD21" s="38">
        <v>17187.9</v>
      </c>
      <c r="BE21" s="138" t="s">
        <v>189</v>
      </c>
      <c r="BF21" s="38">
        <v>17364.9</v>
      </c>
      <c r="BG21" s="138" t="s">
        <v>189</v>
      </c>
      <c r="BH21" s="38">
        <v>17539.3</v>
      </c>
      <c r="BI21" s="138" t="s">
        <v>189</v>
      </c>
      <c r="BJ21" s="38">
        <v>17539.3</v>
      </c>
      <c r="BK21" s="138" t="s">
        <v>189</v>
      </c>
      <c r="BL21" s="38">
        <v>17540.75</v>
      </c>
      <c r="BM21" s="138" t="s">
        <v>189</v>
      </c>
      <c r="BN21" s="38">
        <v>70166.04</v>
      </c>
    </row>
    <row r="22" s="18" customFormat="1" ht="16.5" spans="1:66">
      <c r="A22" s="36" t="s">
        <v>224</v>
      </c>
      <c r="B22" s="37" t="s">
        <v>225</v>
      </c>
      <c r="C22" s="138" t="s">
        <v>189</v>
      </c>
      <c r="D22" s="34">
        <f t="shared" si="52"/>
        <v>124293.5</v>
      </c>
      <c r="E22" s="138" t="s">
        <v>189</v>
      </c>
      <c r="F22" s="41">
        <v>0</v>
      </c>
      <c r="G22" s="138" t="s">
        <v>189</v>
      </c>
      <c r="H22" s="41">
        <v>0</v>
      </c>
      <c r="I22" s="138" t="s">
        <v>189</v>
      </c>
      <c r="J22" s="41">
        <v>0</v>
      </c>
      <c r="K22" s="138" t="s">
        <v>189</v>
      </c>
      <c r="L22" s="41">
        <v>0</v>
      </c>
      <c r="M22" s="138" t="s">
        <v>189</v>
      </c>
      <c r="N22" s="41">
        <v>0</v>
      </c>
      <c r="O22" s="138" t="s">
        <v>189</v>
      </c>
      <c r="P22" s="41">
        <v>4358.27</v>
      </c>
      <c r="Q22" s="138" t="s">
        <v>189</v>
      </c>
      <c r="R22" s="41">
        <v>4358.27</v>
      </c>
      <c r="S22" s="138" t="s">
        <v>189</v>
      </c>
      <c r="T22" s="41">
        <v>4358.27</v>
      </c>
      <c r="U22" s="138" t="s">
        <v>189</v>
      </c>
      <c r="V22" s="41">
        <v>4358.27</v>
      </c>
      <c r="W22" s="138" t="s">
        <v>189</v>
      </c>
      <c r="X22" s="41">
        <v>4358.27</v>
      </c>
      <c r="Y22" s="138" t="s">
        <v>189</v>
      </c>
      <c r="Z22" s="41">
        <v>4358.27</v>
      </c>
      <c r="AA22" s="138" t="s">
        <v>189</v>
      </c>
      <c r="AB22" s="41">
        <v>4358.27</v>
      </c>
      <c r="AC22" s="138" t="s">
        <v>189</v>
      </c>
      <c r="AD22" s="41">
        <v>4358.27</v>
      </c>
      <c r="AE22" s="138" t="s">
        <v>189</v>
      </c>
      <c r="AF22" s="41">
        <v>4358.27</v>
      </c>
      <c r="AG22" s="138" t="s">
        <v>189</v>
      </c>
      <c r="AH22" s="41">
        <v>4358.27</v>
      </c>
      <c r="AI22" s="138" t="s">
        <v>189</v>
      </c>
      <c r="AJ22" s="41">
        <v>4358.27</v>
      </c>
      <c r="AK22" s="138" t="s">
        <v>189</v>
      </c>
      <c r="AL22" s="41">
        <v>4358.27</v>
      </c>
      <c r="AM22" s="138" t="s">
        <v>189</v>
      </c>
      <c r="AN22" s="41">
        <v>4358.27</v>
      </c>
      <c r="AO22" s="138" t="s">
        <v>189</v>
      </c>
      <c r="AP22" s="41">
        <v>4358.27</v>
      </c>
      <c r="AQ22" s="138" t="s">
        <v>189</v>
      </c>
      <c r="AR22" s="41">
        <v>4358.27</v>
      </c>
      <c r="AS22" s="138" t="s">
        <v>189</v>
      </c>
      <c r="AT22" s="41">
        <v>4358.27</v>
      </c>
      <c r="AU22" s="138" t="s">
        <v>189</v>
      </c>
      <c r="AV22" s="41">
        <v>4358.27</v>
      </c>
      <c r="AW22" s="138" t="s">
        <v>189</v>
      </c>
      <c r="AX22" s="41">
        <v>4358.27</v>
      </c>
      <c r="AY22" s="138" t="s">
        <v>189</v>
      </c>
      <c r="AZ22" s="41">
        <v>4358.27</v>
      </c>
      <c r="BA22" s="138" t="s">
        <v>189</v>
      </c>
      <c r="BB22" s="41">
        <v>4358.27</v>
      </c>
      <c r="BC22" s="138" t="s">
        <v>189</v>
      </c>
      <c r="BD22" s="41">
        <v>4358.27</v>
      </c>
      <c r="BE22" s="138" t="s">
        <v>189</v>
      </c>
      <c r="BF22" s="41">
        <v>4358.27</v>
      </c>
      <c r="BG22" s="138" t="s">
        <v>189</v>
      </c>
      <c r="BH22" s="41">
        <v>4358.27</v>
      </c>
      <c r="BI22" s="138" t="s">
        <v>189</v>
      </c>
      <c r="BJ22" s="41">
        <v>4358.27</v>
      </c>
      <c r="BK22" s="138" t="s">
        <v>189</v>
      </c>
      <c r="BL22" s="41">
        <v>4358.27</v>
      </c>
      <c r="BM22" s="138" t="s">
        <v>189</v>
      </c>
      <c r="BN22" s="41">
        <v>15336.75</v>
      </c>
    </row>
    <row r="23" s="15" customFormat="1" ht="16.5" spans="1:66">
      <c r="A23" s="36" t="s">
        <v>226</v>
      </c>
      <c r="B23" s="37" t="s">
        <v>227</v>
      </c>
      <c r="C23" s="138" t="s">
        <v>189</v>
      </c>
      <c r="D23" s="34">
        <f t="shared" si="52"/>
        <v>66585.32</v>
      </c>
      <c r="E23" s="138" t="s">
        <v>189</v>
      </c>
      <c r="F23" s="38"/>
      <c r="G23" s="138" t="s">
        <v>189</v>
      </c>
      <c r="H23" s="38"/>
      <c r="I23" s="138" t="s">
        <v>189</v>
      </c>
      <c r="J23" s="38"/>
      <c r="K23" s="138" t="s">
        <v>189</v>
      </c>
      <c r="L23" s="38"/>
      <c r="M23" s="138" t="s">
        <v>189</v>
      </c>
      <c r="N23" s="38"/>
      <c r="O23" s="138" t="s">
        <v>189</v>
      </c>
      <c r="P23" s="38">
        <v>4430.87</v>
      </c>
      <c r="Q23" s="138" t="s">
        <v>189</v>
      </c>
      <c r="R23" s="38">
        <v>4278.39</v>
      </c>
      <c r="S23" s="138" t="s">
        <v>189</v>
      </c>
      <c r="T23" s="38">
        <v>4125.9</v>
      </c>
      <c r="U23" s="138" t="s">
        <v>189</v>
      </c>
      <c r="V23" s="38">
        <v>3973.41</v>
      </c>
      <c r="W23" s="138" t="s">
        <v>189</v>
      </c>
      <c r="X23" s="38">
        <v>3820.92</v>
      </c>
      <c r="Y23" s="138" t="s">
        <v>189</v>
      </c>
      <c r="Z23" s="38">
        <v>3668.44</v>
      </c>
      <c r="AA23" s="138" t="s">
        <v>189</v>
      </c>
      <c r="AB23" s="38">
        <v>3515.95</v>
      </c>
      <c r="AC23" s="138" t="s">
        <v>189</v>
      </c>
      <c r="AD23" s="38">
        <v>3363.46</v>
      </c>
      <c r="AE23" s="138" t="s">
        <v>189</v>
      </c>
      <c r="AF23" s="38">
        <v>3210.97</v>
      </c>
      <c r="AG23" s="138" t="s">
        <v>189</v>
      </c>
      <c r="AH23" s="38">
        <v>3058.48</v>
      </c>
      <c r="AI23" s="138" t="s">
        <v>189</v>
      </c>
      <c r="AJ23" s="38">
        <v>2906</v>
      </c>
      <c r="AK23" s="138" t="s">
        <v>189</v>
      </c>
      <c r="AL23" s="38">
        <v>2753.51</v>
      </c>
      <c r="AM23" s="138" t="s">
        <v>189</v>
      </c>
      <c r="AN23" s="38">
        <v>2601.02</v>
      </c>
      <c r="AO23" s="138" t="s">
        <v>189</v>
      </c>
      <c r="AP23" s="38">
        <v>2448.53</v>
      </c>
      <c r="AQ23" s="138" t="s">
        <v>189</v>
      </c>
      <c r="AR23" s="38">
        <v>2296.05</v>
      </c>
      <c r="AS23" s="138" t="s">
        <v>189</v>
      </c>
      <c r="AT23" s="38">
        <v>2143.56</v>
      </c>
      <c r="AU23" s="138" t="s">
        <v>189</v>
      </c>
      <c r="AV23" s="38">
        <v>1991.07</v>
      </c>
      <c r="AW23" s="138" t="s">
        <v>189</v>
      </c>
      <c r="AX23" s="38">
        <v>1838.58</v>
      </c>
      <c r="AY23" s="138" t="s">
        <v>189</v>
      </c>
      <c r="AZ23" s="38">
        <v>1686.09</v>
      </c>
      <c r="BA23" s="138" t="s">
        <v>189</v>
      </c>
      <c r="BB23" s="38">
        <v>1533.61</v>
      </c>
      <c r="BC23" s="138" t="s">
        <v>189</v>
      </c>
      <c r="BD23" s="38">
        <v>1381.12</v>
      </c>
      <c r="BE23" s="138" t="s">
        <v>189</v>
      </c>
      <c r="BF23" s="38">
        <v>1228.63</v>
      </c>
      <c r="BG23" s="138" t="s">
        <v>189</v>
      </c>
      <c r="BH23" s="38">
        <v>1076.14</v>
      </c>
      <c r="BI23" s="138" t="s">
        <v>189</v>
      </c>
      <c r="BJ23" s="38">
        <v>923.66</v>
      </c>
      <c r="BK23" s="138" t="s">
        <v>189</v>
      </c>
      <c r="BL23" s="38">
        <v>771.17</v>
      </c>
      <c r="BM23" s="138" t="s">
        <v>189</v>
      </c>
      <c r="BN23" s="38">
        <v>1559.79</v>
      </c>
    </row>
    <row r="24" s="15" customFormat="1" ht="16.5" spans="1:66">
      <c r="A24" s="36" t="s">
        <v>228</v>
      </c>
      <c r="B24" s="37" t="s">
        <v>229</v>
      </c>
      <c r="C24" s="138" t="s">
        <v>189</v>
      </c>
      <c r="D24" s="34">
        <f t="shared" si="52"/>
        <v>0</v>
      </c>
      <c r="E24" s="138" t="s">
        <v>189</v>
      </c>
      <c r="F24" s="38"/>
      <c r="G24" s="138" t="s">
        <v>189</v>
      </c>
      <c r="H24" s="38"/>
      <c r="I24" s="138" t="s">
        <v>189</v>
      </c>
      <c r="J24" s="38"/>
      <c r="K24" s="138" t="s">
        <v>189</v>
      </c>
      <c r="L24" s="38"/>
      <c r="M24" s="138" t="s">
        <v>189</v>
      </c>
      <c r="N24" s="38"/>
      <c r="O24" s="138" t="s">
        <v>189</v>
      </c>
      <c r="P24" s="38"/>
      <c r="Q24" s="138" t="s">
        <v>189</v>
      </c>
      <c r="R24" s="38"/>
      <c r="S24" s="138" t="s">
        <v>189</v>
      </c>
      <c r="T24" s="38"/>
      <c r="U24" s="138" t="s">
        <v>189</v>
      </c>
      <c r="V24" s="38"/>
      <c r="W24" s="138" t="s">
        <v>189</v>
      </c>
      <c r="X24" s="38"/>
      <c r="Y24" s="138" t="s">
        <v>189</v>
      </c>
      <c r="Z24" s="38"/>
      <c r="AA24" s="138" t="s">
        <v>189</v>
      </c>
      <c r="AB24" s="38"/>
      <c r="AC24" s="138" t="s">
        <v>189</v>
      </c>
      <c r="AD24" s="38"/>
      <c r="AE24" s="138" t="s">
        <v>189</v>
      </c>
      <c r="AF24" s="38"/>
      <c r="AG24" s="138" t="s">
        <v>189</v>
      </c>
      <c r="AH24" s="38"/>
      <c r="AI24" s="138" t="s">
        <v>189</v>
      </c>
      <c r="AJ24" s="38"/>
      <c r="AK24" s="138" t="s">
        <v>189</v>
      </c>
      <c r="AL24" s="38"/>
      <c r="AM24" s="138" t="s">
        <v>189</v>
      </c>
      <c r="AN24" s="38"/>
      <c r="AO24" s="138" t="s">
        <v>189</v>
      </c>
      <c r="AP24" s="38"/>
      <c r="AQ24" s="138" t="s">
        <v>189</v>
      </c>
      <c r="AR24" s="38"/>
      <c r="AS24" s="138" t="s">
        <v>189</v>
      </c>
      <c r="AT24" s="38"/>
      <c r="AU24" s="138" t="s">
        <v>189</v>
      </c>
      <c r="AV24" s="38"/>
      <c r="AW24" s="138" t="s">
        <v>189</v>
      </c>
      <c r="AX24" s="38"/>
      <c r="AY24" s="138" t="s">
        <v>189</v>
      </c>
      <c r="AZ24" s="38"/>
      <c r="BA24" s="138" t="s">
        <v>189</v>
      </c>
      <c r="BB24" s="38"/>
      <c r="BC24" s="138" t="s">
        <v>189</v>
      </c>
      <c r="BD24" s="38"/>
      <c r="BE24" s="138" t="s">
        <v>189</v>
      </c>
      <c r="BF24" s="38"/>
      <c r="BG24" s="138" t="s">
        <v>189</v>
      </c>
      <c r="BH24" s="38"/>
      <c r="BI24" s="138" t="s">
        <v>189</v>
      </c>
      <c r="BJ24" s="38"/>
      <c r="BK24" s="138" t="s">
        <v>189</v>
      </c>
      <c r="BL24" s="38"/>
      <c r="BM24" s="138" t="s">
        <v>189</v>
      </c>
      <c r="BN24" s="38"/>
    </row>
    <row r="25" s="15" customFormat="1" ht="16.5" spans="1:66">
      <c r="A25" s="36" t="s">
        <v>230</v>
      </c>
      <c r="B25" s="37" t="s">
        <v>231</v>
      </c>
      <c r="C25" s="138" t="s">
        <v>189</v>
      </c>
      <c r="D25" s="34">
        <f t="shared" si="52"/>
        <v>136196</v>
      </c>
      <c r="E25" s="138" t="s">
        <v>189</v>
      </c>
      <c r="F25" s="38"/>
      <c r="G25" s="138" t="s">
        <v>189</v>
      </c>
      <c r="H25" s="38"/>
      <c r="I25" s="138" t="s">
        <v>189</v>
      </c>
      <c r="J25" s="38"/>
      <c r="K25" s="138" t="s">
        <v>189</v>
      </c>
      <c r="L25" s="38"/>
      <c r="M25" s="138" t="s">
        <v>189</v>
      </c>
      <c r="N25" s="38"/>
      <c r="O25" s="138" t="s">
        <v>189</v>
      </c>
      <c r="P25" s="38"/>
      <c r="Q25" s="138" t="s">
        <v>189</v>
      </c>
      <c r="R25" s="38"/>
      <c r="S25" s="138" t="s">
        <v>189</v>
      </c>
      <c r="T25" s="38"/>
      <c r="U25" s="138" t="s">
        <v>189</v>
      </c>
      <c r="V25" s="38"/>
      <c r="W25" s="138" t="s">
        <v>189</v>
      </c>
      <c r="X25" s="38"/>
      <c r="Y25" s="138" t="s">
        <v>189</v>
      </c>
      <c r="Z25" s="38"/>
      <c r="AA25" s="138" t="s">
        <v>189</v>
      </c>
      <c r="AB25" s="38"/>
      <c r="AC25" s="138" t="s">
        <v>189</v>
      </c>
      <c r="AD25" s="38"/>
      <c r="AE25" s="138" t="s">
        <v>189</v>
      </c>
      <c r="AF25" s="38"/>
      <c r="AG25" s="138" t="s">
        <v>189</v>
      </c>
      <c r="AH25" s="38"/>
      <c r="AI25" s="138" t="s">
        <v>189</v>
      </c>
      <c r="AJ25" s="38"/>
      <c r="AK25" s="138" t="s">
        <v>189</v>
      </c>
      <c r="AL25" s="38"/>
      <c r="AM25" s="138" t="s">
        <v>189</v>
      </c>
      <c r="AN25" s="38"/>
      <c r="AO25" s="138" t="s">
        <v>189</v>
      </c>
      <c r="AP25" s="38"/>
      <c r="AQ25" s="138" t="s">
        <v>189</v>
      </c>
      <c r="AR25" s="38"/>
      <c r="AS25" s="138" t="s">
        <v>189</v>
      </c>
      <c r="AT25" s="38"/>
      <c r="AU25" s="138" t="s">
        <v>189</v>
      </c>
      <c r="AV25" s="38"/>
      <c r="AW25" s="138" t="s">
        <v>189</v>
      </c>
      <c r="AX25" s="38"/>
      <c r="AY25" s="138" t="s">
        <v>189</v>
      </c>
      <c r="AZ25" s="38"/>
      <c r="BA25" s="138" t="s">
        <v>189</v>
      </c>
      <c r="BB25" s="38"/>
      <c r="BC25" s="138" t="s">
        <v>189</v>
      </c>
      <c r="BD25" s="38"/>
      <c r="BE25" s="138" t="s">
        <v>189</v>
      </c>
      <c r="BF25" s="38"/>
      <c r="BG25" s="138" t="s">
        <v>189</v>
      </c>
      <c r="BH25" s="38"/>
      <c r="BI25" s="138" t="s">
        <v>189</v>
      </c>
      <c r="BJ25" s="38"/>
      <c r="BK25" s="138" t="s">
        <v>189</v>
      </c>
      <c r="BL25" s="38"/>
      <c r="BM25" s="138" t="s">
        <v>189</v>
      </c>
      <c r="BN25" s="38">
        <v>136196</v>
      </c>
    </row>
    <row r="26" s="15" customFormat="1" ht="16.5" spans="1:66">
      <c r="A26" s="36" t="s">
        <v>232</v>
      </c>
      <c r="B26" s="37" t="s">
        <v>233</v>
      </c>
      <c r="C26" s="138" t="s">
        <v>189</v>
      </c>
      <c r="D26" s="34">
        <f t="shared" si="52"/>
        <v>145274.58</v>
      </c>
      <c r="E26" s="138" t="s">
        <v>189</v>
      </c>
      <c r="F26" s="38"/>
      <c r="G26" s="138" t="s">
        <v>189</v>
      </c>
      <c r="H26" s="38"/>
      <c r="I26" s="138" t="s">
        <v>189</v>
      </c>
      <c r="J26" s="38"/>
      <c r="K26" s="138" t="s">
        <v>189</v>
      </c>
      <c r="L26" s="38"/>
      <c r="M26" s="138" t="s">
        <v>189</v>
      </c>
      <c r="N26" s="38"/>
      <c r="O26" s="138" t="s">
        <v>189</v>
      </c>
      <c r="P26" s="38">
        <v>4999.6</v>
      </c>
      <c r="Q26" s="138" t="s">
        <v>189</v>
      </c>
      <c r="R26" s="38">
        <v>4999.6</v>
      </c>
      <c r="S26" s="138" t="s">
        <v>189</v>
      </c>
      <c r="T26" s="38">
        <v>4999.6</v>
      </c>
      <c r="U26" s="138" t="s">
        <v>189</v>
      </c>
      <c r="V26" s="38">
        <v>4999.6</v>
      </c>
      <c r="W26" s="138" t="s">
        <v>189</v>
      </c>
      <c r="X26" s="38">
        <v>4999.6</v>
      </c>
      <c r="Y26" s="138" t="s">
        <v>189</v>
      </c>
      <c r="Z26" s="38">
        <v>4999.6</v>
      </c>
      <c r="AA26" s="138" t="s">
        <v>189</v>
      </c>
      <c r="AB26" s="38">
        <v>4999.6</v>
      </c>
      <c r="AC26" s="138" t="s">
        <v>189</v>
      </c>
      <c r="AD26" s="38">
        <v>4999.6</v>
      </c>
      <c r="AE26" s="138" t="s">
        <v>189</v>
      </c>
      <c r="AF26" s="38">
        <v>4999.6</v>
      </c>
      <c r="AG26" s="138" t="s">
        <v>189</v>
      </c>
      <c r="AH26" s="38">
        <v>4999.6</v>
      </c>
      <c r="AI26" s="138" t="s">
        <v>189</v>
      </c>
      <c r="AJ26" s="38">
        <v>4999.6</v>
      </c>
      <c r="AK26" s="138" t="s">
        <v>189</v>
      </c>
      <c r="AL26" s="38">
        <v>4999.6</v>
      </c>
      <c r="AM26" s="138" t="s">
        <v>189</v>
      </c>
      <c r="AN26" s="38">
        <v>4999.6</v>
      </c>
      <c r="AO26" s="138" t="s">
        <v>189</v>
      </c>
      <c r="AP26" s="38">
        <v>4999.6</v>
      </c>
      <c r="AQ26" s="138" t="s">
        <v>189</v>
      </c>
      <c r="AR26" s="38">
        <v>4999.6</v>
      </c>
      <c r="AS26" s="138" t="s">
        <v>189</v>
      </c>
      <c r="AT26" s="38">
        <v>4999.6</v>
      </c>
      <c r="AU26" s="138" t="s">
        <v>189</v>
      </c>
      <c r="AV26" s="38">
        <v>4999.6</v>
      </c>
      <c r="AW26" s="138" t="s">
        <v>189</v>
      </c>
      <c r="AX26" s="38">
        <v>4999.6</v>
      </c>
      <c r="AY26" s="138" t="s">
        <v>189</v>
      </c>
      <c r="AZ26" s="38">
        <v>4999.6</v>
      </c>
      <c r="BA26" s="138" t="s">
        <v>189</v>
      </c>
      <c r="BB26" s="38">
        <v>4999.6</v>
      </c>
      <c r="BC26" s="138" t="s">
        <v>189</v>
      </c>
      <c r="BD26" s="38">
        <v>4999.6</v>
      </c>
      <c r="BE26" s="138" t="s">
        <v>189</v>
      </c>
      <c r="BF26" s="38">
        <v>4999.6</v>
      </c>
      <c r="BG26" s="138" t="s">
        <v>189</v>
      </c>
      <c r="BH26" s="38">
        <v>4999.6</v>
      </c>
      <c r="BI26" s="138" t="s">
        <v>189</v>
      </c>
      <c r="BJ26" s="38">
        <v>4999.6</v>
      </c>
      <c r="BK26" s="138" t="s">
        <v>189</v>
      </c>
      <c r="BL26" s="38">
        <v>4999.6</v>
      </c>
      <c r="BM26" s="138" t="s">
        <v>189</v>
      </c>
      <c r="BN26" s="38">
        <v>20284.58</v>
      </c>
    </row>
    <row r="27" s="20" customFormat="1" ht="16.5" spans="1:66">
      <c r="A27" s="43" t="s">
        <v>234</v>
      </c>
      <c r="B27" s="44">
        <v>34</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c r="BM27" s="24"/>
      <c r="BN27" s="24"/>
    </row>
    <row r="28" ht="14.25" spans="1:66">
      <c r="A28" s="43" t="s">
        <v>235</v>
      </c>
      <c r="B28" s="45">
        <v>5</v>
      </c>
      <c r="C28" s="24"/>
      <c r="D28" s="24"/>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row>
    <row r="29" ht="13.5" spans="1:66">
      <c r="A29" s="43" t="s">
        <v>236</v>
      </c>
      <c r="B29" s="46">
        <f>B27-B28</f>
        <v>29</v>
      </c>
      <c r="C29" s="24"/>
      <c r="D29" s="24"/>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row>
    <row r="30" ht="13.5" spans="1:66">
      <c r="A30" s="47" t="s">
        <v>237</v>
      </c>
      <c r="B30" s="48">
        <f>IF((SUM(E32:BN32)-SUM(E31:BN31))&gt;5,0.032,0.03)</f>
        <v>0.032</v>
      </c>
      <c r="C30" s="24"/>
      <c r="D30" s="24"/>
      <c r="E30" s="25">
        <v>0</v>
      </c>
      <c r="F30" s="25"/>
      <c r="G30" s="25">
        <v>1</v>
      </c>
      <c r="H30" s="25"/>
      <c r="I30" s="25">
        <v>2</v>
      </c>
      <c r="J30" s="25"/>
      <c r="K30" s="25">
        <v>3</v>
      </c>
      <c r="L30" s="25"/>
      <c r="M30" s="25">
        <v>4</v>
      </c>
      <c r="N30" s="25"/>
      <c r="O30" s="25">
        <v>5</v>
      </c>
      <c r="P30" s="25"/>
      <c r="Q30" s="25">
        <v>6</v>
      </c>
      <c r="R30" s="25"/>
      <c r="S30" s="25">
        <v>7</v>
      </c>
      <c r="T30" s="25"/>
      <c r="U30" s="25">
        <v>8</v>
      </c>
      <c r="V30" s="25"/>
      <c r="W30" s="25">
        <v>9</v>
      </c>
      <c r="X30" s="25"/>
      <c r="Y30" s="25">
        <v>10</v>
      </c>
      <c r="Z30" s="25"/>
      <c r="AA30" s="25">
        <v>11</v>
      </c>
      <c r="AB30" s="25"/>
      <c r="AC30" s="25">
        <v>12</v>
      </c>
      <c r="AD30" s="25"/>
      <c r="AE30" s="25">
        <v>13</v>
      </c>
      <c r="AF30" s="25"/>
      <c r="AG30" s="25">
        <v>14</v>
      </c>
      <c r="AH30" s="25"/>
      <c r="AI30" s="25">
        <v>15</v>
      </c>
      <c r="AJ30" s="25"/>
      <c r="AK30" s="25">
        <v>16</v>
      </c>
      <c r="AL30" s="25"/>
      <c r="AM30" s="25">
        <v>17</v>
      </c>
      <c r="AN30" s="25"/>
      <c r="AO30" s="25">
        <v>18</v>
      </c>
      <c r="AP30" s="25"/>
      <c r="AQ30" s="25">
        <v>19</v>
      </c>
      <c r="AR30" s="25"/>
      <c r="AS30" s="25">
        <v>20</v>
      </c>
      <c r="AT30" s="25"/>
      <c r="AU30" s="25">
        <v>21</v>
      </c>
      <c r="AV30" s="25"/>
      <c r="AW30" s="25">
        <v>22</v>
      </c>
      <c r="AX30" s="25"/>
      <c r="AY30" s="25">
        <v>23</v>
      </c>
      <c r="AZ30" s="25"/>
      <c r="BA30" s="25">
        <v>24</v>
      </c>
      <c r="BB30" s="25"/>
      <c r="BC30" s="25">
        <v>25</v>
      </c>
      <c r="BD30" s="25"/>
      <c r="BE30" s="25">
        <v>26</v>
      </c>
      <c r="BF30" s="25"/>
      <c r="BG30" s="25">
        <v>27</v>
      </c>
      <c r="BH30" s="25"/>
      <c r="BI30" s="25">
        <v>28</v>
      </c>
      <c r="BJ30" s="25"/>
      <c r="BK30" s="25">
        <v>29</v>
      </c>
      <c r="BL30" s="25"/>
      <c r="BM30" s="25">
        <v>30</v>
      </c>
      <c r="BN30" s="25"/>
    </row>
    <row r="31" s="21" customFormat="1" spans="1:66">
      <c r="A31" s="49" t="s">
        <v>238</v>
      </c>
      <c r="B31" s="50"/>
      <c r="C31" s="50"/>
      <c r="D31" s="50"/>
      <c r="E31" s="51">
        <f>IF(E6&gt;0,1,0)</f>
        <v>0</v>
      </c>
      <c r="F31" s="51"/>
      <c r="G31" s="51">
        <f>IF(G6&gt;0,IF(SUM(E31)&gt;0,0,2),0)</f>
        <v>0</v>
      </c>
      <c r="H31" s="51"/>
      <c r="I31" s="51">
        <f>IF(I6&gt;0,IF(SUM(E31:G31)&gt;0,0,3),0)</f>
        <v>0</v>
      </c>
      <c r="J31" s="51"/>
      <c r="K31" s="51">
        <f>IF(K6&gt;0,IF(SUM(E31:I31)&gt;0,0,4),0)</f>
        <v>4</v>
      </c>
      <c r="L31" s="51"/>
      <c r="M31" s="51">
        <f>IF(M6&gt;0,IF(SUM(E31:K31)&gt;0,0,5),0)</f>
        <v>0</v>
      </c>
      <c r="N31" s="51"/>
      <c r="O31" s="51">
        <f>IF(O6&gt;0,IF(SUM(E31:M31)&gt;0,0,6),0)</f>
        <v>0</v>
      </c>
      <c r="P31" s="51"/>
      <c r="Q31" s="51">
        <f>IF(Q6&gt;0,IF(SUM(E31:O31)&gt;0,0,7),0)</f>
        <v>0</v>
      </c>
      <c r="R31" s="51"/>
      <c r="S31" s="51">
        <f>IF(S6&gt;0,IF(SUM(E31:Q31)&gt;0,0,8),0)</f>
        <v>0</v>
      </c>
      <c r="T31" s="51"/>
      <c r="U31" s="51">
        <f>IF(U6&gt;0,IF(SUM(E31:S31)&gt;0,0,9),0)</f>
        <v>0</v>
      </c>
      <c r="V31" s="51"/>
      <c r="W31" s="51">
        <f>IF(W6&gt;0,IF(SUM(E31:U31)&gt;0,0,10),0)</f>
        <v>0</v>
      </c>
      <c r="X31" s="51"/>
      <c r="Y31" s="51">
        <f>IF(Y6&gt;0,IF(SUM(E31:W31)&gt;0,0,11),0)</f>
        <v>0</v>
      </c>
      <c r="Z31" s="51"/>
      <c r="AA31" s="51">
        <f>IF(AA6&gt;0,IF(SUM(E31:Y31)&gt;0,0,12),0)</f>
        <v>0</v>
      </c>
      <c r="AB31" s="51"/>
      <c r="AC31" s="51">
        <f>IF(AC6&gt;0,IF(SUM(E31:AA31)&gt;0,0,13),0)</f>
        <v>0</v>
      </c>
      <c r="AD31" s="51"/>
      <c r="AE31" s="51">
        <f>IF(AE6&gt;0,IF(SUM(E31:AC31)&gt;0,0,14),0)</f>
        <v>0</v>
      </c>
      <c r="AF31" s="51"/>
      <c r="AG31" s="51">
        <f>IF(AG6&gt;0,IF(SUM(E31:AE31)&gt;0,0,15),0)</f>
        <v>0</v>
      </c>
      <c r="AH31" s="51"/>
      <c r="AI31" s="51">
        <f>IF(AI6&gt;0,IF(SUM(E31:AG31)&gt;0,0,16),0)</f>
        <v>0</v>
      </c>
      <c r="AJ31" s="51"/>
      <c r="AK31" s="51">
        <f>IF(AK6&gt;0,IF(SUM(E31:AI31)&gt;0,0,17),0)</f>
        <v>0</v>
      </c>
      <c r="AL31" s="51"/>
      <c r="AM31" s="51">
        <f>IF(AM6&gt;0,IF(SUM(E31:AK31)&gt;0,0,18),0)</f>
        <v>0</v>
      </c>
      <c r="AN31" s="51"/>
      <c r="AO31" s="51">
        <f>IF(AO6&gt;0,IF(SUM(E31:AM31)&gt;0,0,19),0)</f>
        <v>0</v>
      </c>
      <c r="AP31" s="51"/>
      <c r="AQ31" s="51">
        <f>IF(AQ6&gt;0,IF(SUM(E31:AO31)&gt;0,0,20),0)</f>
        <v>0</v>
      </c>
      <c r="AR31" s="51"/>
      <c r="AS31" s="51">
        <f>IF(AS6&gt;0,IF(SUM(E31:AQ31)&gt;0,0,21),0)</f>
        <v>0</v>
      </c>
      <c r="AT31" s="51"/>
      <c r="AU31" s="51">
        <f>IF(AU6&gt;0,IF(SUM(E31:AS31)&gt;0,0,22),0)</f>
        <v>0</v>
      </c>
      <c r="AV31" s="51"/>
      <c r="AW31" s="51">
        <f>IF(AW6&gt;0,IF(SUM(E31:AU31)&gt;0,0,23),0)</f>
        <v>0</v>
      </c>
      <c r="AX31" s="51"/>
      <c r="AY31" s="51">
        <f>IF(AY6&gt;0,IF(SUM(E31:AW31)&gt;0,0,24),0)</f>
        <v>0</v>
      </c>
      <c r="AZ31" s="51"/>
      <c r="BA31" s="51">
        <f>IF(BA6&gt;0,IF(SUM(E31:AY31)&gt;0,0,25),0)</f>
        <v>0</v>
      </c>
      <c r="BB31" s="51"/>
      <c r="BC31" s="51">
        <f>IF(BC6&gt;0,IF(SUM(E31:BA31)&gt;0,0,26),0)</f>
        <v>0</v>
      </c>
      <c r="BD31" s="51"/>
      <c r="BE31" s="51">
        <f>IF(BE6&gt;0,IF(SUM(E31:BC31)&gt;0,0,27),0)</f>
        <v>0</v>
      </c>
      <c r="BF31" s="51"/>
      <c r="BG31" s="51">
        <f>IF(BG6&gt;0,IF(SUM(E31:BE31)&gt;0,0,28),0)</f>
        <v>0</v>
      </c>
      <c r="BH31" s="51"/>
      <c r="BI31" s="51">
        <f>IF(BI6&gt;0,IF(SUM(E31:BG31)&gt;0,0,29),0)</f>
        <v>0</v>
      </c>
      <c r="BJ31" s="51"/>
      <c r="BK31" s="51">
        <f>IF(BK6&gt;0,IF(SUM(E31:BI31)&gt;0,0,30),0)</f>
        <v>0</v>
      </c>
      <c r="BL31" s="51"/>
      <c r="BM31" s="51">
        <f>IF(BM6&gt;0,IF(SUM(E31:BK31)&gt;0,0,31),0)</f>
        <v>0</v>
      </c>
      <c r="BN31" s="51"/>
    </row>
    <row r="32" s="22" customFormat="1" spans="1:66">
      <c r="A32" s="52" t="s">
        <v>239</v>
      </c>
      <c r="B32" s="53"/>
      <c r="C32" s="53"/>
      <c r="D32" s="53"/>
      <c r="E32" s="54">
        <f>IF(F25&gt;0,IF(SUM(G32:BN32)&gt;0,0,1),0)</f>
        <v>0</v>
      </c>
      <c r="F32" s="54"/>
      <c r="G32" s="54">
        <f>IF(H25&gt;0,IF(SUM(I32:BN32)&gt;0,0,2),0)</f>
        <v>0</v>
      </c>
      <c r="H32" s="54"/>
      <c r="I32" s="54">
        <f>IF(J25&gt;0,IF(SUM(K32:BN32)&gt;0,0,3),0)</f>
        <v>0</v>
      </c>
      <c r="J32" s="54"/>
      <c r="K32" s="54">
        <f>IF(L25&gt;0,IF(SUM(M32:BN32)&gt;0,0,4),0)</f>
        <v>0</v>
      </c>
      <c r="L32" s="54"/>
      <c r="M32" s="54">
        <f>IF(N25&gt;0,IF(SUM(O32:BN32)&gt;0,0,5),0)</f>
        <v>0</v>
      </c>
      <c r="N32" s="54"/>
      <c r="O32" s="54">
        <f>IF(P25&gt;0,IF(SUM(Q32:BN32)&gt;0,0,6),0)</f>
        <v>0</v>
      </c>
      <c r="P32" s="54"/>
      <c r="Q32" s="54">
        <f>IF(R25&gt;0,IF(SUM(S32:BN32)&gt;0,0,7),0)</f>
        <v>0</v>
      </c>
      <c r="R32" s="54"/>
      <c r="S32" s="54">
        <f>IF(T25&gt;0,IF(SUM(U32:BN32)&gt;0,0,8),0)</f>
        <v>0</v>
      </c>
      <c r="T32" s="54"/>
      <c r="U32" s="54">
        <f>IF(V25&gt;0,IF(SUM(W32:BN32)&gt;0,0,9),0)</f>
        <v>0</v>
      </c>
      <c r="V32" s="54"/>
      <c r="W32" s="54">
        <f>IF(X25&gt;0,IF(SUM(Y32:BN32)&gt;0,0,10),0)</f>
        <v>0</v>
      </c>
      <c r="X32" s="54"/>
      <c r="Y32" s="54">
        <f>IF(Z25&gt;0,IF(SUM(AA32:BN32)&gt;0,0,11),0)</f>
        <v>0</v>
      </c>
      <c r="Z32" s="54"/>
      <c r="AA32" s="54">
        <f>IF(AB25&gt;0,IF(SUM(AC32:BN32)&gt;0,0,12),0)</f>
        <v>0</v>
      </c>
      <c r="AB32" s="54"/>
      <c r="AC32" s="54">
        <f>IF(AD25&gt;0,IF(SUM(AE32:BN32)&gt;0,0,13),0)</f>
        <v>0</v>
      </c>
      <c r="AD32" s="54"/>
      <c r="AE32" s="54">
        <f>IF(AF25&gt;0,IF(SUM(AG32:BN32)&gt;0,0,14),0)</f>
        <v>0</v>
      </c>
      <c r="AF32" s="54"/>
      <c r="AG32" s="54">
        <f>IF(AH25&gt;0,IF(SUM(AI32:BN32)&gt;0,0,15),0)</f>
        <v>0</v>
      </c>
      <c r="AH32" s="54"/>
      <c r="AI32" s="54">
        <f>IF(AJ25&gt;0,IF(SUM(AK32:BN32)&gt;0,0,16),0)</f>
        <v>0</v>
      </c>
      <c r="AJ32" s="54"/>
      <c r="AK32" s="54">
        <f>IF(AL25&gt;0,IF(SUM(AM32:BN32)&gt;0,0,17),0)</f>
        <v>0</v>
      </c>
      <c r="AL32" s="54"/>
      <c r="AM32" s="54">
        <f>IF(AN25&gt;0,IF(SUM(AO32:BN32)&gt;0,0,18),0)</f>
        <v>0</v>
      </c>
      <c r="AN32" s="54"/>
      <c r="AO32" s="54">
        <f>IF(AP25&gt;0,IF(SUM(AQ32:BN32)&gt;0,0,19),0)</f>
        <v>0</v>
      </c>
      <c r="AP32" s="54"/>
      <c r="AQ32" s="54">
        <f>IF(AR25&gt;0,IF(SUM(AS32:BN32)&gt;0,0,20),0)</f>
        <v>0</v>
      </c>
      <c r="AR32" s="54"/>
      <c r="AS32" s="54">
        <f>IF(AT25&gt;0,IF(SUM(AU32:BN32)&gt;0,0,21),0)</f>
        <v>0</v>
      </c>
      <c r="AT32" s="54"/>
      <c r="AU32" s="54">
        <f>IF(AV25&gt;0,IF(SUM(AW32:BN32)&gt;0,0,22),0)</f>
        <v>0</v>
      </c>
      <c r="AV32" s="54"/>
      <c r="AW32" s="54">
        <f>IF(AX25&gt;0,IF(SUM(AY32:BN32)&gt;0,0,23),0)</f>
        <v>0</v>
      </c>
      <c r="AX32" s="54"/>
      <c r="AY32" s="54">
        <f>IF(AZ25&gt;0,IF(SUM(BA32:BN32)&gt;0,0,24),0)</f>
        <v>0</v>
      </c>
      <c r="AZ32" s="54"/>
      <c r="BA32" s="54">
        <f>IF(BB25&gt;0,IF(SUM(BC32:BN32)&gt;0,0,25),0)</f>
        <v>0</v>
      </c>
      <c r="BB32" s="54"/>
      <c r="BC32" s="54">
        <f>IF(BD25&gt;0,IF(SUM(BE32:BN32)&gt;0,0,26),0)</f>
        <v>0</v>
      </c>
      <c r="BD32" s="54"/>
      <c r="BE32" s="54">
        <f>IF(BF25&gt;0,IF(SUM(BG32:BN32)&gt;0,0,27),0)</f>
        <v>0</v>
      </c>
      <c r="BF32" s="54"/>
      <c r="BG32" s="54">
        <f>IF(BH25&gt;0,IF(SUM(BI32:BN32)&gt;0,0,28),0)</f>
        <v>0</v>
      </c>
      <c r="BH32" s="54"/>
      <c r="BI32" s="54">
        <f>IF(BJ25&gt;0,IF(SUM(BK32:BN32)&gt;0,0,29),0)</f>
        <v>0</v>
      </c>
      <c r="BJ32" s="54"/>
      <c r="BK32" s="54">
        <f>IF(BL25&gt;0,IF(SUM(BM32)&gt;0,0,30),0)</f>
        <v>0</v>
      </c>
      <c r="BL32" s="54"/>
      <c r="BM32" s="54">
        <f>IF(BN25&gt;0,31,0)</f>
        <v>31</v>
      </c>
      <c r="BN32" s="54"/>
    </row>
    <row r="33" spans="4:4">
      <c r="D33" s="55"/>
    </row>
  </sheetData>
  <protectedRanges>
    <protectedRange sqref="A15:A24 A5:B7 A9:B14 F4 F16:F19 E9:E15 BO5:IT7 BO9:IT14 E20:E21 E7:G7 H4 G9:G15 H16:H19 G20:G21 I7 J4 I9:I15 J16:J19 I20:I21 E22:J22 K7 L4 K9:K15 L16:L19 L22 M7 N4 M9:M15 N16:N19 N7:N14 N22 O7 P4 O9:O15 P7:P14 Q7 R4 Q9:Q15 R7:R14 S7 T4 S9:S15 T7:T14 U7 V4 U9:U15 V7:V14 W7 X4 W9:W15 X7:X14 Y7 Z4 Y9:Y15 Z7:Z14 AA7 AB4 AA9:AA15 AB7:AB14 AC7 AD4 AC9:AC15 AD7:AD14 AE7 AF4 AE9:AE15 AF7:AF14 AG7 AH4 AG9:AG15 AH7:AH14 AI7 AJ4 AI9:AI15 AJ7:AJ14 AK7 AL4 AK9:AK15 AL7:AL14 AM7 AN4 AM9:AM15 AN7:AN14 AO7 AP4 AO9:AO15 AP7:AP14 AQ7 AR4 AQ9:AQ15 AR7:AR14 AS7 AT4 AS9:AS15 AT7:AT14 AU7 AV4 AU9:AU15 AV7:AV14 AW7 AX4 AW9:AW15 AX7:AX14 AY7 AZ4 AY9:AY15 AZ7:AZ14 BA7 BB4 BA9:BA15 BB7:BB14 BC7 BD4 BC9:BC15 BD7:BD14 BE7 BF4 BE9:BE15 BF7:BF14 BG7 BH4 BG9:BG15 BH7:BH14 BI7 BJ4 BI9:BI15 BJ7:BJ14 BK7 BL4 BK9:BK15 BL7:BL14 BM7 BN4 BM9:BM15 BN16:BN19 BN7:BN14 O20:O26 M20:M26 K20:K26 I23:I26 G23:G26 E23:E26 E5:BN5 E6:F6 G6 H6 J6:BN6 I6 E8 G8 I8 J13:J14 L13:L14 L12 H13 H14 F13:F14 L7:L10 L11 J7:J10 J11 H7:H10 H11 F8:F10 F11 BL16 BJ16 BH16 BF16 BD16 BB16 AZ16 AX16 AV16 AT16 AR16 AP16 AN16 AL16 AJ16 AH16 AF16 AD16 AB16 Z16 X16 V16 T16 R16 P16 P19 R19 T19 V19 X19 Z19 AB19 AD19 AF19 AH19 AJ19 AL19 AN19 AP19 AR19 AT19 AV19 AX19 AZ19 BB19 BD19 BF19 BH19 BJ19 BL19 Q20 S20 U20 W20 Y20 AA20 AC20 AE20 AG20 AI20 AK20 AM20 AO20 AQ20 AS20 AU20 AW20 AY20 BA20 BC20 BE20 BG20 BI20 BK20 BM20" name="区域1"/>
    <protectedRange sqref="A25:A26" name="区域1_1"/>
    <protectedRange sqref="F12" name="区域1_2"/>
    <protectedRange sqref="H12 J12" name="区域1_3"/>
    <protectedRange sqref="N35:P35" name="区域1_4"/>
    <protectedRange sqref="O17:BM17" name="区域1_5"/>
    <protectedRange password="DB40" sqref="O18:BM18 S18 S18" name="区域1_6"/>
    <protectedRange password="DB40" sqref="P21:BN26 R22 T22 T22 T22 V22 X22 Z22 AB22 AD22 AD22 AF22 AH22 AJ22 AL22 AN22 AP22 AR22 AT22 AV22 AX22 AZ22 BB22 BD22 BD22 BF22 BH22 BJ22 BL22 BN22 R26 T26 V26 X26 Z26 AB26 AD26 AF26 AH26 AJ26 AL26 AN26 AP26 AR26 AT26 AV26 AX26 AZ26 BB26 BD26 BF26 BH26 BJ26 BL26 BN26 R22 T22 V22 X22 Z22 AB22 AD22 AF22 AH22 AJ22 AL22 AN22 AP22 AR22 AT22 AV22 AX22 AZ22 BB22 BD22 BF22 BH22 BJ22 BL22 BN22 R26 T26 V26 X26 Z26 AB26 AD26 AF26 AH26 AJ26 AL26 AN26 AP26 AR26 AT26 AV26 AX26 AZ26 BB26 BD26 BF26 BH26 BJ26 BL26 BN26 R22 T22 V22 X22 Z22 AB22 AD22 AF22 AH22 AJ22 AL22 AN22 AP22 AR22 AT22 AV22 AX22 AZ22 BB22 BD22 BF22 BH22 BJ22 BL22 BN22 R26 T26 V26 X26 Z26 AB26 AD26 AF26 AH26 AJ26 AL26 AN26 AP26 AR26 AT26 AV26 AX26 AZ26 BB26 BD26 BF26 BH26 BJ26 BL26 BN26" name="区域1_7"/>
  </protectedRanges>
  <mergeCells count="35">
    <mergeCell ref="C2:D2"/>
    <mergeCell ref="E2:F2"/>
    <mergeCell ref="G2:H2"/>
    <mergeCell ref="I2:J2"/>
    <mergeCell ref="K2:L2"/>
    <mergeCell ref="M2:N2"/>
    <mergeCell ref="O2:P2"/>
    <mergeCell ref="Q2:R2"/>
    <mergeCell ref="S2:T2"/>
    <mergeCell ref="U2:V2"/>
    <mergeCell ref="W2:X2"/>
    <mergeCell ref="Y2:Z2"/>
    <mergeCell ref="AA2:AB2"/>
    <mergeCell ref="AC2:AD2"/>
    <mergeCell ref="AE2:AF2"/>
    <mergeCell ref="AG2:AH2"/>
    <mergeCell ref="AI2:AJ2"/>
    <mergeCell ref="AK2:AL2"/>
    <mergeCell ref="AM2:AN2"/>
    <mergeCell ref="AO2:AP2"/>
    <mergeCell ref="AQ2:AR2"/>
    <mergeCell ref="AS2:AT2"/>
    <mergeCell ref="AU2:AV2"/>
    <mergeCell ref="AW2:AX2"/>
    <mergeCell ref="AY2:AZ2"/>
    <mergeCell ref="BA2:BB2"/>
    <mergeCell ref="BC2:BD2"/>
    <mergeCell ref="BE2:BF2"/>
    <mergeCell ref="BG2:BH2"/>
    <mergeCell ref="BI2:BJ2"/>
    <mergeCell ref="BK2:BL2"/>
    <mergeCell ref="BM2:BN2"/>
    <mergeCell ref="BO2:BP2"/>
    <mergeCell ref="A2:A3"/>
    <mergeCell ref="B2:B3"/>
  </mergeCells>
  <dataValidations count="2">
    <dataValidation type="decimal" operator="between" allowBlank="1" showInputMessage="1" showErrorMessage="1" sqref="F11 H11 J11 L11 N11 P11 R11 T11 V11 X11 Z11 AB11 AD11 AF11 AH11 AJ11 AL11 AN11 AP11 AR11 AT11 AV11 AX11 AZ11 BB11 BD11 BF11 BH11 BJ11 BL11 BN11 F13 H13 J13 L13 N13 P13 R13 T13 V13 X13 Z13 AB13 AD13 AF13 AH13 AJ13 AL13 AN13 AP13 AR13 AT13 AV13 AX13 AZ13 BB13 BD13 BF13 BH13 BJ13 BL13 BN13 F22 H22 J22 L22 N22 P22 R22 T22 V22 X22 Z22 AB22 AD22 AF22 AH22 AJ22 AL22 AN22 AP22 AR22 AT22 AV22 AX22 AZ22 BB22 BD22 BF22 BH22 BJ22 BL22 BN22 E5:E10 G5:G10 I5:I10 K5:K7 K9:K10 M5:M7 M9:M10 O5:O7 O9:O10 Q5:Q7 Q9:Q10 S5:S7 S9:S10 U5:U7 U9:U10 W5:W7 W9:W10 Y5:Y7 Y9:Y10 AA5:AA7 AA9:AA10 AC5:AC7 AC9:AC10 AE5:AE7 AE9:AE10 AG5:AG7 AG9:AG10 AI5:AI7 AI9:AI10 AK5:AK7 AK9:AK10 AM5:AM7 AM9:AM10 AO5:AO7 AO9:AO10 AQ5:AQ7 AQ9:AQ10 AS5:AS7 AS9:AS10 AU5:AU7 AU9:AU10 AW5:AW7 AW9:AW10 AY5:AY7 AY9:AY10 BA5:BA7 BA9:BA10 BC5:BC7 BC9:BC10 BE5:BE7 BE9:BE10 BG5:BG7 BG9:BG10 BI5:BI7 BI9:BI10 BK5:BK7 BK9:BK10 BM5:BM7 BM9:BM10">
      <formula1>0</formula1>
      <formula2>9999999999</formula2>
    </dataValidation>
    <dataValidation type="custom" allowBlank="1" showInputMessage="1" showErrorMessage="1" sqref="F12 H12 J12 O17:O18 Q17:Q18 S17:S18 U17:U18 W17:W18 Y17:Y18 AA17:AA18 AC17:AC18 AE17:AE18 AG17:AG18 AI17:AI18 AK17:AK18 AM17:AM18 AO17:AO18 AQ17:AQ18 AS17:AS18 AU17:AU18 AW17:AW18 AY17:AY18 BA17:BA18 BC17:BC18 BE17:BE18 BG17:BG18 BI17:BI18 BK17:BK18 BM17:BM18">
      <formula1>AND(F12&gt;=0,F12=ROUND(F12,2))</formula1>
    </dataValidation>
  </dataValidation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zoomScale="115" zoomScaleNormal="115" workbookViewId="0">
      <selection activeCell="G4" sqref="G4"/>
    </sheetView>
  </sheetViews>
  <sheetFormatPr defaultColWidth="9" defaultRowHeight="13.5" outlineLevelCol="6"/>
  <cols>
    <col min="1" max="1" width="5.375" style="1" customWidth="1"/>
    <col min="2" max="2" width="12.875" style="1" customWidth="1"/>
    <col min="3" max="3" width="25.375" style="1" customWidth="1"/>
    <col min="4" max="4" width="21.25" style="1" customWidth="1"/>
    <col min="5" max="5" width="17.125" style="2" customWidth="1"/>
    <col min="6" max="6" width="8.875" style="1" customWidth="1"/>
    <col min="7" max="7" width="12.875" style="1" customWidth="1"/>
    <col min="8" max="9" width="9" style="1"/>
    <col min="10" max="10" width="12.625" style="1"/>
    <col min="11" max="16384" width="9" style="1"/>
  </cols>
  <sheetData>
    <row r="1" spans="1:7">
      <c r="A1" s="3" t="s">
        <v>240</v>
      </c>
      <c r="B1" s="4"/>
      <c r="C1" s="4"/>
      <c r="D1" s="4"/>
      <c r="E1" s="5"/>
      <c r="F1" s="4"/>
      <c r="G1" s="4"/>
    </row>
    <row r="2" spans="1:7">
      <c r="A2" s="6" t="s">
        <v>241</v>
      </c>
      <c r="B2" s="7" t="s">
        <v>242</v>
      </c>
      <c r="C2" s="8" t="s">
        <v>243</v>
      </c>
      <c r="D2" s="8" t="s">
        <v>244</v>
      </c>
      <c r="E2" s="9" t="s">
        <v>245</v>
      </c>
      <c r="F2" s="8" t="s">
        <v>246</v>
      </c>
      <c r="G2" s="8" t="s">
        <v>247</v>
      </c>
    </row>
    <row r="3" spans="1:7">
      <c r="A3" s="4" t="s">
        <v>248</v>
      </c>
      <c r="B3" s="10" t="str">
        <f t="shared" ref="B3:B21" si="0">IF(SUM(C3:F3)=0,"",SUM(C3:F3))</f>
        <v/>
      </c>
      <c r="C3" s="11"/>
      <c r="D3" s="12"/>
      <c r="E3" s="13">
        <f>'4.收支预算表'!M16</f>
        <v>0</v>
      </c>
      <c r="F3" s="11"/>
      <c r="G3" s="12">
        <f>'4.收支预算表'!N21</f>
        <v>0</v>
      </c>
    </row>
    <row r="4" spans="1:7">
      <c r="A4" s="4" t="s">
        <v>249</v>
      </c>
      <c r="B4" s="10">
        <f t="shared" si="0"/>
        <v>43219.3</v>
      </c>
      <c r="C4" s="11"/>
      <c r="D4" s="12"/>
      <c r="E4" s="13">
        <f>'4.收支预算表'!O16</f>
        <v>43219.3</v>
      </c>
      <c r="F4" s="11"/>
      <c r="G4" s="12">
        <f>'4.收支预算表'!P21</f>
        <v>15884.4</v>
      </c>
    </row>
    <row r="5" spans="1:7">
      <c r="A5" s="4" t="s">
        <v>250</v>
      </c>
      <c r="B5" s="10">
        <f t="shared" si="0"/>
        <v>43404.27</v>
      </c>
      <c r="C5" s="11"/>
      <c r="D5" s="12"/>
      <c r="E5" s="13">
        <f>'4.收支预算表'!Q16</f>
        <v>43404.27</v>
      </c>
      <c r="F5" s="11"/>
      <c r="G5" s="12">
        <f>'4.收支预算表'!R21</f>
        <v>16129.58</v>
      </c>
    </row>
    <row r="6" spans="1:7">
      <c r="A6" s="4" t="s">
        <v>251</v>
      </c>
      <c r="B6" s="10">
        <f t="shared" si="0"/>
        <v>43443.46</v>
      </c>
      <c r="C6" s="11"/>
      <c r="D6" s="12"/>
      <c r="E6" s="13">
        <f>'4.收支预算表'!S16</f>
        <v>43443.46</v>
      </c>
      <c r="F6" s="11"/>
      <c r="G6" s="12">
        <f>'4.收支预算表'!T21</f>
        <v>16339.33</v>
      </c>
    </row>
    <row r="7" spans="1:7">
      <c r="A7" s="4" t="s">
        <v>252</v>
      </c>
      <c r="B7" s="10">
        <f t="shared" si="0"/>
        <v>43533.03</v>
      </c>
      <c r="C7" s="11"/>
      <c r="D7" s="12"/>
      <c r="E7" s="13">
        <f>'4.收支预算表'!U16</f>
        <v>43533.03</v>
      </c>
      <c r="F7" s="11"/>
      <c r="G7" s="12">
        <f>'4.收支预算表'!V21</f>
        <v>16551.23</v>
      </c>
    </row>
    <row r="8" spans="1:7">
      <c r="A8" s="4" t="s">
        <v>253</v>
      </c>
      <c r="B8" s="10">
        <f t="shared" si="0"/>
        <v>43571.77</v>
      </c>
      <c r="C8" s="11"/>
      <c r="D8" s="12"/>
      <c r="E8" s="13">
        <f>'4.收支预算表'!W16</f>
        <v>43571.77</v>
      </c>
      <c r="F8" s="11"/>
      <c r="G8" s="12">
        <f>'4.收支预算表'!X21</f>
        <v>16751.03</v>
      </c>
    </row>
    <row r="9" spans="1:7">
      <c r="A9" s="4" t="s">
        <v>254</v>
      </c>
      <c r="B9" s="10">
        <f t="shared" si="0"/>
        <v>43609.84</v>
      </c>
      <c r="C9" s="11"/>
      <c r="D9" s="12"/>
      <c r="E9" s="13">
        <f>'4.收支预算表'!Y16</f>
        <v>43609.84</v>
      </c>
      <c r="F9" s="11"/>
      <c r="G9" s="12">
        <f>'4.收支预算表'!Z21</f>
        <v>16950.01</v>
      </c>
    </row>
    <row r="10" spans="1:7">
      <c r="A10" s="4" t="s">
        <v>255</v>
      </c>
      <c r="B10" s="10">
        <f t="shared" si="0"/>
        <v>43703.1</v>
      </c>
      <c r="C10" s="11"/>
      <c r="D10" s="12"/>
      <c r="E10" s="13">
        <f>'4.收支预算表'!AA16</f>
        <v>43703.1</v>
      </c>
      <c r="F10" s="11"/>
      <c r="G10" s="12">
        <f>'4.收支预算表'!AB21</f>
        <v>17163.77</v>
      </c>
    </row>
    <row r="11" spans="1:7">
      <c r="A11" s="4" t="s">
        <v>256</v>
      </c>
      <c r="B11" s="10">
        <f t="shared" si="0"/>
        <v>33396.95</v>
      </c>
      <c r="C11" s="11"/>
      <c r="D11" s="12"/>
      <c r="E11" s="13">
        <f>'4.收支预算表'!AC16</f>
        <v>33396.95</v>
      </c>
      <c r="F11" s="11"/>
      <c r="G11" s="12">
        <f>'4.收支预算表'!AD21</f>
        <v>14903.67</v>
      </c>
    </row>
    <row r="12" spans="1:7">
      <c r="A12" s="4" t="s">
        <v>257</v>
      </c>
      <c r="B12" s="10">
        <f t="shared" si="0"/>
        <v>33404.11</v>
      </c>
      <c r="C12" s="11"/>
      <c r="D12" s="12"/>
      <c r="E12" s="13">
        <f>'4.收支预算表'!AE16</f>
        <v>33404.11</v>
      </c>
      <c r="F12" s="11"/>
      <c r="G12" s="12">
        <f>'4.收支预算表'!AF21</f>
        <v>15079.29</v>
      </c>
    </row>
    <row r="13" spans="1:7">
      <c r="A13" s="4" t="s">
        <v>258</v>
      </c>
      <c r="B13" s="10">
        <f t="shared" si="0"/>
        <v>33468.05</v>
      </c>
      <c r="C13" s="11"/>
      <c r="D13" s="12"/>
      <c r="E13" s="13">
        <f>'4.收支预算表'!AG16</f>
        <v>33468.05</v>
      </c>
      <c r="F13" s="11"/>
      <c r="G13" s="12">
        <f>'4.收支预算表'!AH21</f>
        <v>15256.04</v>
      </c>
    </row>
    <row r="14" spans="1:7">
      <c r="A14" s="4" t="s">
        <v>259</v>
      </c>
      <c r="B14" s="10">
        <f t="shared" si="0"/>
        <v>33474.99</v>
      </c>
      <c r="C14" s="11"/>
      <c r="D14" s="12"/>
      <c r="E14" s="13">
        <f>'4.收支预算表'!AI16</f>
        <v>33474.99</v>
      </c>
      <c r="F14" s="11"/>
      <c r="G14" s="12">
        <f>'4.收支预算表'!AJ21</f>
        <v>15431.41</v>
      </c>
    </row>
    <row r="15" spans="1:7">
      <c r="A15" s="4" t="s">
        <v>260</v>
      </c>
      <c r="B15" s="10">
        <f t="shared" si="0"/>
        <v>33481.93</v>
      </c>
      <c r="C15" s="11"/>
      <c r="D15" s="12"/>
      <c r="E15" s="13">
        <f>'4.收支预算表'!AK16</f>
        <v>33481.93</v>
      </c>
      <c r="F15" s="11"/>
      <c r="G15" s="12">
        <f>'4.收支预算表'!AL21</f>
        <v>15606.78</v>
      </c>
    </row>
    <row r="16" spans="1:7">
      <c r="A16" s="4" t="s">
        <v>261</v>
      </c>
      <c r="B16" s="10">
        <f t="shared" si="0"/>
        <v>33547.59</v>
      </c>
      <c r="C16" s="11"/>
      <c r="D16" s="12"/>
      <c r="E16" s="13">
        <f>'4.收支预算表'!AM16</f>
        <v>33547.59</v>
      </c>
      <c r="F16" s="11"/>
      <c r="G16" s="12">
        <f>'4.收支预算表'!AN21</f>
        <v>15782.36</v>
      </c>
    </row>
    <row r="17" spans="1:7">
      <c r="A17" s="4" t="s">
        <v>262</v>
      </c>
      <c r="B17" s="10">
        <f t="shared" si="0"/>
        <v>33554.76</v>
      </c>
      <c r="C17" s="11"/>
      <c r="D17" s="12"/>
      <c r="E17" s="13">
        <f>'4.收支预算表'!AO16</f>
        <v>33554.76</v>
      </c>
      <c r="F17" s="11"/>
      <c r="G17" s="12">
        <f>'4.收支预算表'!AP21</f>
        <v>15957.98</v>
      </c>
    </row>
    <row r="18" spans="1:7">
      <c r="A18" s="4" t="s">
        <v>263</v>
      </c>
      <c r="B18" s="10">
        <f t="shared" si="0"/>
        <v>33561.92</v>
      </c>
      <c r="C18" s="11"/>
      <c r="D18" s="12"/>
      <c r="E18" s="13">
        <f>'4.收支预算表'!AQ16</f>
        <v>33561.92</v>
      </c>
      <c r="F18" s="11"/>
      <c r="G18" s="12">
        <f>'4.收支预算表'!AR21</f>
        <v>16133.6</v>
      </c>
    </row>
    <row r="19" spans="1:7">
      <c r="A19" s="4" t="s">
        <v>264</v>
      </c>
      <c r="B19" s="10">
        <f t="shared" si="0"/>
        <v>33631.46</v>
      </c>
      <c r="C19" s="11"/>
      <c r="D19" s="12"/>
      <c r="E19" s="13">
        <f>'4.收支预算表'!AS16</f>
        <v>33631.46</v>
      </c>
      <c r="F19" s="11"/>
      <c r="G19" s="12">
        <f>'4.收支预算表'!AT21</f>
        <v>16310.22</v>
      </c>
    </row>
    <row r="20" spans="1:7">
      <c r="A20" s="4" t="s">
        <v>265</v>
      </c>
      <c r="B20" s="10">
        <f t="shared" si="0"/>
        <v>33638.62</v>
      </c>
      <c r="C20" s="11"/>
      <c r="D20" s="12"/>
      <c r="E20" s="13">
        <f>'4.收支预算表'!AU16</f>
        <v>33638.62</v>
      </c>
      <c r="F20" s="11"/>
      <c r="G20" s="12">
        <f>'4.收支预算表'!AV21</f>
        <v>16485.84</v>
      </c>
    </row>
    <row r="21" spans="1:7">
      <c r="A21" s="4" t="s">
        <v>266</v>
      </c>
      <c r="B21" s="10">
        <f t="shared" si="0"/>
        <v>33644.68</v>
      </c>
      <c r="C21" s="11"/>
      <c r="D21" s="11"/>
      <c r="E21" s="13">
        <f>'4.收支预算表'!AW16</f>
        <v>33644.68</v>
      </c>
      <c r="F21" s="11"/>
      <c r="G21" s="11">
        <f>'4.收支预算表'!AX21</f>
        <v>16660.24</v>
      </c>
    </row>
    <row r="22" spans="1:7">
      <c r="A22" s="4" t="s">
        <v>267</v>
      </c>
      <c r="B22" s="10">
        <f>IF(SUM(C22:G22)=0,"",SUM(C22:G22))</f>
        <v>50554.74</v>
      </c>
      <c r="C22" s="11"/>
      <c r="D22" s="11"/>
      <c r="E22" s="13">
        <f>'4.收支预算表'!AY16</f>
        <v>33717.57</v>
      </c>
      <c r="F22" s="11"/>
      <c r="G22" s="11">
        <f>'4.收支预算表'!AZ21</f>
        <v>16837.17</v>
      </c>
    </row>
    <row r="23" spans="1:7">
      <c r="A23" s="4" t="s">
        <v>268</v>
      </c>
      <c r="E23" s="13">
        <f>'4.收支预算表'!BA16</f>
        <v>33724.27</v>
      </c>
      <c r="G23" s="1">
        <f>'4.收支预算表'!BB21</f>
        <v>17012.28</v>
      </c>
    </row>
    <row r="24" spans="1:7">
      <c r="A24" s="4" t="s">
        <v>269</v>
      </c>
      <c r="E24" s="2">
        <f>'4.收支预算表'!BC16</f>
        <v>32476.1</v>
      </c>
      <c r="G24" s="1">
        <f>'4.收支预算表'!BD21</f>
        <v>17187.9</v>
      </c>
    </row>
  </sheetData>
  <mergeCells count="1">
    <mergeCell ref="A1:G1"/>
  </mergeCells>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rangeList sheetStid="3" master=""/>
  <rangeList sheetStid="1" master="">
    <arrUserId title="区域1" rangeCreator="" othersAccessPermission="edit"/>
    <arrUserId title="区域1_1" rangeCreator="" othersAccessPermission="edit"/>
  </rangeList>
  <rangeList sheetStid="2" master="">
    <arrUserId title="区域1" rangeCreator="" othersAccessPermission="edit"/>
    <arrUserId title="区域1_1" rangeCreator="" othersAccessPermission="edit"/>
    <arrUserId title="区域1_2" rangeCreator="" othersAccessPermission="edit"/>
    <arrUserId title="区域1_3" rangeCreator="" othersAccessPermission="edit"/>
    <arrUserId title="区域1_4" rangeCreator="" othersAccessPermission="edit"/>
    <arrUserId title="区域1_5" rangeCreator="" othersAccessPermission="edit"/>
    <arrUserId title="区域1_6" rangeCreator="" othersAccessPermission="edit"/>
    <arrUserId title="区域1_7" rangeCreator="" othersAccessPermission="edit"/>
  </rangeList>
  <rangeList sheetStid="5"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1.项目基本情况表</vt:lpstr>
      <vt:lpstr>2.项目资金需求申报信息</vt:lpstr>
      <vt:lpstr>项目详细信息</vt:lpstr>
      <vt:lpstr>4.收支预算表</vt:lpstr>
      <vt:lpstr>系统表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renxiaobin</dc:creator>
  <cp:lastModifiedBy>冬瓜</cp:lastModifiedBy>
  <dcterms:created xsi:type="dcterms:W3CDTF">2022-03-10T12:49:00Z</dcterms:created>
  <dcterms:modified xsi:type="dcterms:W3CDTF">2025-03-17T13:27:37Z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61CA4EBA92D349C4A5982BFA02D6D3D7</vt:lpwstr>
  </property>
  <property fmtid="{D5CDD505-2E9C-101B-9397-08002B2CF9AE}" pid="3" name="KSOProductBuildVer">
    <vt:lpwstr>2052-11.1.0.14309</vt:lpwstr>
  </property>
</Properties>
</file>